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komori\Desktop\"/>
    </mc:Choice>
  </mc:AlternateContent>
  <xr:revisionPtr revIDLastSave="0" documentId="13_ncr:1_{04910BA9-3B83-4EC2-9867-B2E6A0AEBE6A}" xr6:coauthVersionLast="47" xr6:coauthVersionMax="47" xr10:uidLastSave="{00000000-0000-0000-0000-000000000000}"/>
  <bookViews>
    <workbookView xWindow="195" yWindow="240" windowWidth="26235" windowHeight="13425" xr2:uid="{00000000-000D-0000-FFFF-FFFF00000000}"/>
  </bookViews>
  <sheets>
    <sheet name="R8 (2)" sheetId="3" r:id="rId1"/>
    <sheet name="R8" sheetId="2" r:id="rId2"/>
  </sheets>
  <definedNames>
    <definedName name="_xlnm.Print_Area" localSheetId="1">'R8'!$A$1:$Z$18</definedName>
    <definedName name="_xlnm.Print_Area" localSheetId="0">'R8 (2)'!$A$1:$AD$18</definedName>
  </definedNames>
  <calcPr calcId="191029"/>
</workbook>
</file>

<file path=xl/calcChain.xml><?xml version="1.0" encoding="utf-8"?>
<calcChain xmlns="http://schemas.openxmlformats.org/spreadsheetml/2006/main">
  <c r="AC16" i="3" l="1"/>
  <c r="AC15" i="3"/>
  <c r="AC14" i="3"/>
  <c r="AC13" i="3"/>
  <c r="AC12" i="3"/>
  <c r="AC11" i="3"/>
  <c r="AC10" i="3"/>
  <c r="AC9" i="3"/>
  <c r="AC8" i="3"/>
  <c r="AC7" i="3"/>
  <c r="P16" i="3"/>
  <c r="P15" i="3"/>
  <c r="P14" i="3"/>
  <c r="P13" i="3"/>
  <c r="P12" i="3"/>
  <c r="P11" i="3"/>
  <c r="P10" i="3"/>
  <c r="P9" i="3"/>
  <c r="P8" i="3"/>
  <c r="P7" i="3"/>
  <c r="J14" i="3"/>
  <c r="J12" i="3"/>
  <c r="J8" i="3"/>
  <c r="AB16" i="3"/>
  <c r="AB15" i="3"/>
  <c r="AB14" i="3"/>
  <c r="AB13" i="3"/>
  <c r="AB12" i="3"/>
  <c r="AB11" i="3"/>
  <c r="AB10" i="3"/>
  <c r="AB9" i="3"/>
  <c r="AB8" i="3"/>
  <c r="AB7" i="3"/>
  <c r="I16" i="3"/>
  <c r="I15" i="3"/>
  <c r="I14" i="3"/>
  <c r="I13" i="3"/>
  <c r="I12" i="3"/>
  <c r="I11" i="3"/>
  <c r="I10" i="3"/>
  <c r="I9" i="3"/>
  <c r="I8" i="3"/>
  <c r="I7" i="3"/>
  <c r="H16" i="3"/>
  <c r="H15" i="3"/>
  <c r="H14" i="3"/>
  <c r="H13" i="3"/>
  <c r="H12" i="3"/>
  <c r="H11" i="3"/>
  <c r="H10" i="3"/>
  <c r="H9" i="3"/>
  <c r="H8" i="3"/>
  <c r="H7" i="3"/>
  <c r="L16" i="3"/>
  <c r="F16" i="3"/>
  <c r="G16" i="3" s="1"/>
  <c r="J16" i="3" s="1"/>
  <c r="D16" i="3"/>
  <c r="L15" i="3"/>
  <c r="F15" i="3"/>
  <c r="G15" i="3" s="1"/>
  <c r="J15" i="3" s="1"/>
  <c r="D15" i="3"/>
  <c r="L14" i="3"/>
  <c r="G14" i="3"/>
  <c r="F14" i="3"/>
  <c r="D14" i="3"/>
  <c r="L13" i="3"/>
  <c r="F13" i="3"/>
  <c r="G13" i="3" s="1"/>
  <c r="J13" i="3" s="1"/>
  <c r="D13" i="3"/>
  <c r="L12" i="3"/>
  <c r="E12" i="3"/>
  <c r="F12" i="3" s="1"/>
  <c r="G12" i="3" s="1"/>
  <c r="L11" i="3"/>
  <c r="E11" i="3"/>
  <c r="F11" i="3" s="1"/>
  <c r="G11" i="3" s="1"/>
  <c r="J11" i="3" s="1"/>
  <c r="L10" i="3"/>
  <c r="F10" i="3"/>
  <c r="G10" i="3" s="1"/>
  <c r="J10" i="3" s="1"/>
  <c r="D10" i="3"/>
  <c r="L9" i="3"/>
  <c r="E9" i="3"/>
  <c r="F9" i="3" s="1"/>
  <c r="G9" i="3" s="1"/>
  <c r="J9" i="3" s="1"/>
  <c r="L8" i="3"/>
  <c r="F8" i="3"/>
  <c r="G8" i="3" s="1"/>
  <c r="D8" i="3"/>
  <c r="L7" i="3"/>
  <c r="E7" i="3"/>
  <c r="F7" i="3" s="1"/>
  <c r="G7" i="3" s="1"/>
  <c r="J7" i="3" s="1"/>
  <c r="L16" i="2"/>
  <c r="I16" i="2"/>
  <c r="H16" i="2"/>
  <c r="D16" i="2"/>
  <c r="F16" i="2"/>
  <c r="G16" i="2" s="1"/>
  <c r="J16" i="2" s="1"/>
  <c r="L15" i="2"/>
  <c r="I15" i="2"/>
  <c r="K15" i="2" s="1"/>
  <c r="H15" i="2"/>
  <c r="F15" i="2"/>
  <c r="G15" i="2" s="1"/>
  <c r="J15" i="2" s="1"/>
  <c r="D15" i="2"/>
  <c r="K16" i="2" l="1"/>
  <c r="K12" i="3"/>
  <c r="M12" i="3" s="1"/>
  <c r="N12" i="3" s="1"/>
  <c r="O12" i="3" s="1"/>
  <c r="K14" i="3"/>
  <c r="M14" i="3" s="1"/>
  <c r="N14" i="3" s="1"/>
  <c r="O14" i="3" s="1"/>
  <c r="K16" i="3"/>
  <c r="M16" i="3" s="1"/>
  <c r="N16" i="3" s="1"/>
  <c r="O16" i="3" s="1"/>
  <c r="K10" i="3"/>
  <c r="M10" i="3" s="1"/>
  <c r="N10" i="3" s="1"/>
  <c r="O10" i="3" s="1"/>
  <c r="K15" i="3"/>
  <c r="M15" i="3" s="1"/>
  <c r="N15" i="3" s="1"/>
  <c r="O15" i="3" s="1"/>
  <c r="K9" i="3"/>
  <c r="M9" i="3" s="1"/>
  <c r="N9" i="3" s="1"/>
  <c r="O9" i="3" s="1"/>
  <c r="K8" i="3"/>
  <c r="K7" i="3"/>
  <c r="K11" i="3"/>
  <c r="K13" i="3"/>
  <c r="M16" i="2"/>
  <c r="N16" i="2" s="1"/>
  <c r="O16" i="2" s="1"/>
  <c r="M15" i="2"/>
  <c r="N15" i="2" s="1"/>
  <c r="O15" i="2" s="1"/>
  <c r="R9" i="3" l="1"/>
  <c r="S9" i="3" s="1"/>
  <c r="R14" i="3"/>
  <c r="S14" i="3" s="1"/>
  <c r="R16" i="3"/>
  <c r="S16" i="3" s="1"/>
  <c r="R10" i="3"/>
  <c r="S10" i="3" s="1"/>
  <c r="R12" i="3"/>
  <c r="S12" i="3" s="1"/>
  <c r="M7" i="3"/>
  <c r="N7" i="3" s="1"/>
  <c r="O7" i="3" s="1"/>
  <c r="M13" i="3"/>
  <c r="N13" i="3" s="1"/>
  <c r="O13" i="3" s="1"/>
  <c r="M8" i="3"/>
  <c r="N8" i="3" s="1"/>
  <c r="O8" i="3" s="1"/>
  <c r="R15" i="3"/>
  <c r="S15" i="3" s="1"/>
  <c r="M11" i="3"/>
  <c r="N11" i="3" s="1"/>
  <c r="O11" i="3" s="1"/>
  <c r="P16" i="2"/>
  <c r="R16" i="2" s="1"/>
  <c r="S16" i="2" s="1"/>
  <c r="P15" i="2"/>
  <c r="R15" i="2" s="1"/>
  <c r="S15" i="2" s="1"/>
  <c r="U16" i="3" l="1"/>
  <c r="T16" i="3"/>
  <c r="AA16" i="3" s="1"/>
  <c r="U10" i="3"/>
  <c r="T10" i="3"/>
  <c r="AA10" i="3" s="1"/>
  <c r="T14" i="3"/>
  <c r="AA14" i="3" s="1"/>
  <c r="U14" i="3"/>
  <c r="R7" i="3"/>
  <c r="S7" i="3" s="1"/>
  <c r="U15" i="3"/>
  <c r="T15" i="3"/>
  <c r="AA15" i="3" s="1"/>
  <c r="T12" i="3"/>
  <c r="AA12" i="3" s="1"/>
  <c r="U12" i="3"/>
  <c r="R11" i="3"/>
  <c r="S11" i="3" s="1"/>
  <c r="T9" i="3"/>
  <c r="U9" i="3"/>
  <c r="R8" i="3"/>
  <c r="S8" i="3" s="1"/>
  <c r="R13" i="3"/>
  <c r="S13" i="3" s="1"/>
  <c r="U16" i="2"/>
  <c r="T16" i="2"/>
  <c r="U15" i="2"/>
  <c r="T15" i="2"/>
  <c r="Z9" i="3" l="1"/>
  <c r="AA9" i="3"/>
  <c r="AD9" i="3"/>
  <c r="Z14" i="3"/>
  <c r="AD14" i="3"/>
  <c r="Z12" i="3"/>
  <c r="AD12" i="3"/>
  <c r="Z10" i="3"/>
  <c r="AD10" i="3"/>
  <c r="Z15" i="3"/>
  <c r="AD15" i="3"/>
  <c r="Z16" i="3"/>
  <c r="AD16" i="3"/>
  <c r="T8" i="3"/>
  <c r="U8" i="3"/>
  <c r="T7" i="3"/>
  <c r="U7" i="3"/>
  <c r="U13" i="3"/>
  <c r="T13" i="3"/>
  <c r="AA13" i="3" s="1"/>
  <c r="T11" i="3"/>
  <c r="AA11" i="3" s="1"/>
  <c r="U11" i="3"/>
  <c r="D14" i="2"/>
  <c r="Z8" i="3" l="1"/>
  <c r="AA8" i="3"/>
  <c r="Z7" i="3"/>
  <c r="AA7" i="3"/>
  <c r="Z11" i="3"/>
  <c r="AD11" i="3"/>
  <c r="AD8" i="3"/>
  <c r="Z13" i="3"/>
  <c r="AD13" i="3"/>
  <c r="AD7" i="3"/>
  <c r="L14" i="2"/>
  <c r="I14" i="2"/>
  <c r="H14" i="2"/>
  <c r="F14" i="2"/>
  <c r="G14" i="2" s="1"/>
  <c r="J14" i="2" s="1"/>
  <c r="L13" i="2"/>
  <c r="I13" i="2"/>
  <c r="H13" i="2"/>
  <c r="F13" i="2"/>
  <c r="G13" i="2" s="1"/>
  <c r="J13" i="2" s="1"/>
  <c r="D13" i="2"/>
  <c r="E7" i="2"/>
  <c r="F7" i="2" s="1"/>
  <c r="G7" i="2" s="1"/>
  <c r="J7" i="2" s="1"/>
  <c r="L7" i="2"/>
  <c r="I7" i="2"/>
  <c r="H7" i="2"/>
  <c r="L8" i="2"/>
  <c r="I8" i="2"/>
  <c r="H8" i="2"/>
  <c r="D10" i="2"/>
  <c r="K14" i="2" l="1"/>
  <c r="M14" i="2" s="1"/>
  <c r="N14" i="2" s="1"/>
  <c r="O14" i="2" s="1"/>
  <c r="K13" i="2"/>
  <c r="K7" i="2"/>
  <c r="L12" i="2"/>
  <c r="I12" i="2"/>
  <c r="H12" i="2"/>
  <c r="E12" i="2"/>
  <c r="F12" i="2" s="1"/>
  <c r="G12" i="2" s="1"/>
  <c r="J12" i="2" s="1"/>
  <c r="L11" i="2"/>
  <c r="I11" i="2"/>
  <c r="H11" i="2"/>
  <c r="E11" i="2"/>
  <c r="F11" i="2" s="1"/>
  <c r="G11" i="2" s="1"/>
  <c r="J11" i="2" s="1"/>
  <c r="L10" i="2"/>
  <c r="I10" i="2"/>
  <c r="H10" i="2"/>
  <c r="F10" i="2"/>
  <c r="G10" i="2" s="1"/>
  <c r="J10" i="2" s="1"/>
  <c r="L9" i="2"/>
  <c r="I9" i="2"/>
  <c r="H9" i="2"/>
  <c r="E9" i="2"/>
  <c r="F9" i="2" s="1"/>
  <c r="G9" i="2" s="1"/>
  <c r="J9" i="2" s="1"/>
  <c r="P14" i="2" l="1"/>
  <c r="R14" i="2" s="1"/>
  <c r="S14" i="2" s="1"/>
  <c r="M13" i="2"/>
  <c r="N13" i="2" s="1"/>
  <c r="O13" i="2" s="1"/>
  <c r="K9" i="2"/>
  <c r="M9" i="2" s="1"/>
  <c r="N9" i="2" s="1"/>
  <c r="O9" i="2" s="1"/>
  <c r="K12" i="2"/>
  <c r="M12" i="2" s="1"/>
  <c r="N12" i="2" s="1"/>
  <c r="O12" i="2" s="1"/>
  <c r="K10" i="2"/>
  <c r="M10" i="2" s="1"/>
  <c r="N10" i="2" s="1"/>
  <c r="O10" i="2" s="1"/>
  <c r="M7" i="2"/>
  <c r="N7" i="2" s="1"/>
  <c r="O7" i="2" s="1"/>
  <c r="K11" i="2"/>
  <c r="M11" i="2" s="1"/>
  <c r="N11" i="2" s="1"/>
  <c r="O11" i="2" s="1"/>
  <c r="U14" i="2" l="1"/>
  <c r="T14" i="2"/>
  <c r="P13" i="2"/>
  <c r="R13" i="2" s="1"/>
  <c r="S13" i="2" s="1"/>
  <c r="P7" i="2"/>
  <c r="R7" i="2" s="1"/>
  <c r="S7" i="2" s="1"/>
  <c r="P12" i="2"/>
  <c r="R12" i="2" s="1"/>
  <c r="S12" i="2" s="1"/>
  <c r="P11" i="2"/>
  <c r="R11" i="2" s="1"/>
  <c r="S11" i="2" s="1"/>
  <c r="P10" i="2"/>
  <c r="R10" i="2" s="1"/>
  <c r="S10" i="2" s="1"/>
  <c r="P9" i="2"/>
  <c r="R9" i="2" s="1"/>
  <c r="S9" i="2" s="1"/>
  <c r="U13" i="2" l="1"/>
  <c r="T13" i="2"/>
  <c r="U7" i="2"/>
  <c r="T7" i="2"/>
  <c r="U10" i="2"/>
  <c r="T10" i="2"/>
  <c r="T12" i="2"/>
  <c r="U12" i="2"/>
  <c r="U9" i="2"/>
  <c r="T9" i="2"/>
  <c r="T11" i="2"/>
  <c r="U11" i="2"/>
  <c r="D8" i="2" l="1"/>
  <c r="F8" i="2"/>
  <c r="G8" i="2" s="1"/>
  <c r="J8" i="2" s="1"/>
  <c r="K8" i="2" s="1"/>
  <c r="M8" i="2" l="1"/>
  <c r="N8" i="2" s="1"/>
  <c r="O8" i="2" s="1"/>
  <c r="P8" i="2" l="1"/>
  <c r="R8" i="2" s="1"/>
  <c r="S8" i="2" s="1"/>
  <c r="T8" i="2" l="1"/>
  <c r="U8" i="2"/>
</calcChain>
</file>

<file path=xl/sharedStrings.xml><?xml version="1.0" encoding="utf-8"?>
<sst xmlns="http://schemas.openxmlformats.org/spreadsheetml/2006/main" count="110" uniqueCount="54">
  <si>
    <t>業務委託名</t>
    <rPh sb="0" eb="2">
      <t>ギョウム</t>
    </rPh>
    <rPh sb="2" eb="4">
      <t>イタク</t>
    </rPh>
    <rPh sb="4" eb="5">
      <t>メイ</t>
    </rPh>
    <phoneticPr fontId="1"/>
  </si>
  <si>
    <t>諸経費</t>
    <rPh sb="0" eb="3">
      <t>ショケイヒ</t>
    </rPh>
    <phoneticPr fontId="1"/>
  </si>
  <si>
    <t>特別経費</t>
    <rPh sb="0" eb="2">
      <t>トクベツ</t>
    </rPh>
    <rPh sb="2" eb="4">
      <t>ケイヒ</t>
    </rPh>
    <phoneticPr fontId="1"/>
  </si>
  <si>
    <t>合計</t>
    <rPh sb="0" eb="2">
      <t>ゴウケイ</t>
    </rPh>
    <phoneticPr fontId="1"/>
  </si>
  <si>
    <t>年度</t>
    <rPh sb="0" eb="2">
      <t>ネンド</t>
    </rPh>
    <phoneticPr fontId="1"/>
  </si>
  <si>
    <t>番号</t>
    <rPh sb="0" eb="2">
      <t>バンゴウ</t>
    </rPh>
    <phoneticPr fontId="1"/>
  </si>
  <si>
    <t>算定額</t>
    <rPh sb="0" eb="2">
      <t>サンテイ</t>
    </rPh>
    <rPh sb="2" eb="3">
      <t>ガク</t>
    </rPh>
    <phoneticPr fontId="1"/>
  </si>
  <si>
    <t>率</t>
    <rPh sb="0" eb="1">
      <t>リツ</t>
    </rPh>
    <phoneticPr fontId="1"/>
  </si>
  <si>
    <t>税抜委託費
（Ａ）</t>
    <rPh sb="0" eb="1">
      <t>ゼイ</t>
    </rPh>
    <rPh sb="1" eb="2">
      <t>ヌ</t>
    </rPh>
    <rPh sb="2" eb="5">
      <t>イタクヒ</t>
    </rPh>
    <phoneticPr fontId="1"/>
  </si>
  <si>
    <t>委　託　費
（税込）</t>
    <rPh sb="0" eb="1">
      <t>イ</t>
    </rPh>
    <rPh sb="2" eb="3">
      <t>コトヅケ</t>
    </rPh>
    <rPh sb="4" eb="5">
      <t>ヒ</t>
    </rPh>
    <rPh sb="7" eb="9">
      <t>ゼイコミ</t>
    </rPh>
    <phoneticPr fontId="1"/>
  </si>
  <si>
    <t>（Ａ）×14/24</t>
  </si>
  <si>
    <t>（Ｂ）×15/115</t>
  </si>
  <si>
    <t>設計に要する直接人件費
（B）</t>
    <rPh sb="0" eb="2">
      <t>セッケイ</t>
    </rPh>
    <rPh sb="3" eb="4">
      <t>ヨウ</t>
    </rPh>
    <rPh sb="6" eb="8">
      <t>チョクセツ</t>
    </rPh>
    <rPh sb="8" eb="11">
      <t>ジンケンヒ</t>
    </rPh>
    <phoneticPr fontId="1"/>
  </si>
  <si>
    <t>積算に要する直接人件費
（Ｃ）</t>
    <rPh sb="0" eb="2">
      <t>セキサン</t>
    </rPh>
    <rPh sb="3" eb="4">
      <t>ヨウ</t>
    </rPh>
    <rPh sb="6" eb="8">
      <t>チョクセツ</t>
    </rPh>
    <rPh sb="8" eb="11">
      <t>ジンケンヒ</t>
    </rPh>
    <phoneticPr fontId="1"/>
  </si>
  <si>
    <t>照査に要する直接人件費</t>
    <rPh sb="0" eb="2">
      <t>ショウサ</t>
    </rPh>
    <rPh sb="3" eb="4">
      <t>ヨウ</t>
    </rPh>
    <rPh sb="6" eb="8">
      <t>チョクセツ</t>
    </rPh>
    <rPh sb="8" eb="11">
      <t>ジンケンヒ</t>
    </rPh>
    <phoneticPr fontId="1"/>
  </si>
  <si>
    <t>①＋②計</t>
    <rPh sb="3" eb="4">
      <t>ケイ</t>
    </rPh>
    <phoneticPr fontId="1"/>
  </si>
  <si>
    <t>（Ｃ）×5%</t>
    <phoneticPr fontId="1"/>
  </si>
  <si>
    <t>②計</t>
    <rPh sb="1" eb="2">
      <t>ケイ</t>
    </rPh>
    <phoneticPr fontId="1"/>
  </si>
  <si>
    <t>工事種別割増</t>
    <rPh sb="0" eb="2">
      <t>コウジ</t>
    </rPh>
    <rPh sb="2" eb="4">
      <t>シュベツ</t>
    </rPh>
    <rPh sb="4" eb="6">
      <t>ワリマシ</t>
    </rPh>
    <phoneticPr fontId="1"/>
  </si>
  <si>
    <t>定額人件費（イ）</t>
    <rPh sb="0" eb="2">
      <t>テイガク</t>
    </rPh>
    <rPh sb="2" eb="5">
      <t>ジンケンヒ</t>
    </rPh>
    <phoneticPr fontId="1"/>
  </si>
  <si>
    <t>定率人件費（ロ）</t>
    <rPh sb="0" eb="2">
      <t>テイリツ</t>
    </rPh>
    <rPh sb="2" eb="5">
      <t>ジンケンヒ</t>
    </rPh>
    <phoneticPr fontId="1"/>
  </si>
  <si>
    <t>（イ）＋（ロ）</t>
    <phoneticPr fontId="1"/>
  </si>
  <si>
    <t>報酬率
（Ｄ）／（Ａ）</t>
    <rPh sb="0" eb="2">
      <t>ホウシュウ</t>
    </rPh>
    <rPh sb="2" eb="3">
      <t>リツ</t>
    </rPh>
    <phoneticPr fontId="1"/>
  </si>
  <si>
    <t>事務処理
①</t>
    <rPh sb="0" eb="2">
      <t>ジム</t>
    </rPh>
    <rPh sb="2" eb="4">
      <t>ショリ</t>
    </rPh>
    <phoneticPr fontId="1"/>
  </si>
  <si>
    <t>技術審査　②</t>
    <rPh sb="0" eb="2">
      <t>ギジュツ</t>
    </rPh>
    <rPh sb="2" eb="4">
      <t>シンサ</t>
    </rPh>
    <phoneticPr fontId="1"/>
  </si>
  <si>
    <t>報酬額
（税抜）
（Ｄ）</t>
    <rPh sb="0" eb="2">
      <t>ホウシュウ</t>
    </rPh>
    <rPh sb="2" eb="3">
      <t>ガク</t>
    </rPh>
    <rPh sb="5" eb="6">
      <t>ゼイ</t>
    </rPh>
    <rPh sb="6" eb="7">
      <t>ヌ</t>
    </rPh>
    <phoneticPr fontId="1"/>
  </si>
  <si>
    <t>工事種別割増率：（工事種別数－1）×0.2</t>
    <rPh sb="0" eb="2">
      <t>コウジ</t>
    </rPh>
    <rPh sb="2" eb="4">
      <t>シュベツ</t>
    </rPh>
    <rPh sb="4" eb="6">
      <t>ワリマシ</t>
    </rPh>
    <rPh sb="6" eb="7">
      <t>リツ</t>
    </rPh>
    <phoneticPr fontId="1"/>
  </si>
  <si>
    <t>工事種別数</t>
    <phoneticPr fontId="1"/>
  </si>
  <si>
    <t xml:space="preserve">報酬額
（税込）
</t>
    <rPh sb="0" eb="2">
      <t>ホウシュウ</t>
    </rPh>
    <rPh sb="2" eb="3">
      <t>ガク</t>
    </rPh>
    <rPh sb="5" eb="6">
      <t>ゼイ</t>
    </rPh>
    <rPh sb="6" eb="7">
      <t>コミ</t>
    </rPh>
    <phoneticPr fontId="1"/>
  </si>
  <si>
    <t>A,E,M</t>
    <phoneticPr fontId="1"/>
  </si>
  <si>
    <t>A,E</t>
    <phoneticPr fontId="1"/>
  </si>
  <si>
    <t>A</t>
    <phoneticPr fontId="1"/>
  </si>
  <si>
    <t>久木コミュニティセンター増築建築基本設計・実施設計業務</t>
    <phoneticPr fontId="1"/>
  </si>
  <si>
    <t>浜田市本庁舎非常用電源設備工事に伴う基本設計及び実施設計業務【日建設計】</t>
    <rPh sb="31" eb="33">
      <t>ニッケン</t>
    </rPh>
    <rPh sb="33" eb="35">
      <t>セッケイ</t>
    </rPh>
    <phoneticPr fontId="1"/>
  </si>
  <si>
    <t>仮称西部統合放課後児童クラブ新築工事実施設計業務</t>
    <phoneticPr fontId="1"/>
  </si>
  <si>
    <t>江津市青陵放課後児童クラブ新築工事実施設計業務</t>
    <rPh sb="0" eb="3">
      <t>ゴウツシ</t>
    </rPh>
    <phoneticPr fontId="1"/>
  </si>
  <si>
    <t>市営大塚団地第三期新築工事設計業務</t>
    <rPh sb="0" eb="2">
      <t>シエイ</t>
    </rPh>
    <rPh sb="2" eb="4">
      <t>オオツカ</t>
    </rPh>
    <rPh sb="4" eb="6">
      <t>ダンチ</t>
    </rPh>
    <rPh sb="6" eb="8">
      <t>ダイサン</t>
    </rPh>
    <rPh sb="8" eb="9">
      <t>キ</t>
    </rPh>
    <rPh sb="9" eb="11">
      <t>シンチク</t>
    </rPh>
    <rPh sb="11" eb="13">
      <t>コウジ</t>
    </rPh>
    <rPh sb="13" eb="15">
      <t>セッケイ</t>
    </rPh>
    <rPh sb="15" eb="17">
      <t>ギョウム</t>
    </rPh>
    <phoneticPr fontId="1"/>
  </si>
  <si>
    <t>浜田市陸上競技場耐震診断及びスタンド改修実
施設計業務</t>
    <phoneticPr fontId="1"/>
  </si>
  <si>
    <t>島根かみあり国スポ会場トイレ等改修実施設計
業務</t>
    <phoneticPr fontId="1"/>
  </si>
  <si>
    <t>大田市庁舎</t>
    <rPh sb="0" eb="5">
      <t>オオダシチョウシャ</t>
    </rPh>
    <phoneticPr fontId="1"/>
  </si>
  <si>
    <t>浜田市本庁舎非常用電源設備工事に伴う基本設計及び実施設計業務</t>
    <phoneticPr fontId="1"/>
  </si>
  <si>
    <t>北陽小学校</t>
    <rPh sb="0" eb="2">
      <t>ホクヨウ</t>
    </rPh>
    <rPh sb="2" eb="5">
      <t>ショウガッコウ</t>
    </rPh>
    <phoneticPr fontId="1"/>
  </si>
  <si>
    <t>0.3×2×42,500</t>
    <phoneticPr fontId="1"/>
  </si>
  <si>
    <t>0.7×2×42,500</t>
    <phoneticPr fontId="1"/>
  </si>
  <si>
    <t>現在の金額</t>
    <rPh sb="0" eb="2">
      <t>ゲンザイ</t>
    </rPh>
    <rPh sb="3" eb="5">
      <t>キンガク</t>
    </rPh>
    <phoneticPr fontId="1"/>
  </si>
  <si>
    <t>案１</t>
    <rPh sb="0" eb="1">
      <t>アン</t>
    </rPh>
    <phoneticPr fontId="1"/>
  </si>
  <si>
    <r>
      <rPr>
        <sz val="10"/>
        <color rgb="FFFF0000"/>
        <rFont val="ＭＳ Ｐゴシック"/>
        <family val="3"/>
        <charset val="128"/>
        <scheme val="minor"/>
      </rPr>
      <t>0.5</t>
    </r>
    <r>
      <rPr>
        <sz val="10"/>
        <rFont val="ＭＳ Ｐゴシック"/>
        <family val="3"/>
        <charset val="128"/>
        <scheme val="minor"/>
      </rPr>
      <t>×2×42,500</t>
    </r>
    <phoneticPr fontId="1"/>
  </si>
  <si>
    <r>
      <rPr>
        <sz val="10"/>
        <color rgb="FFFF0000"/>
        <rFont val="ＭＳ Ｐゴシック"/>
        <family val="3"/>
        <charset val="128"/>
        <scheme val="minor"/>
      </rPr>
      <t>0.8</t>
    </r>
    <r>
      <rPr>
        <sz val="10"/>
        <rFont val="ＭＳ Ｐゴシック"/>
        <family val="3"/>
        <charset val="128"/>
        <scheme val="minor"/>
      </rPr>
      <t>×2×42,500</t>
    </r>
    <phoneticPr fontId="1"/>
  </si>
  <si>
    <t>差額</t>
    <rPh sb="0" eb="2">
      <t>サガク</t>
    </rPh>
    <phoneticPr fontId="1"/>
  </si>
  <si>
    <t>現在の35％</t>
    <rPh sb="0" eb="2">
      <t>ゲンザイ</t>
    </rPh>
    <phoneticPr fontId="1"/>
  </si>
  <si>
    <t>変更後30%</t>
    <rPh sb="0" eb="3">
      <t>ヘンコウゴ</t>
    </rPh>
    <phoneticPr fontId="1"/>
  </si>
  <si>
    <r>
      <t>（Ｃ）×</t>
    </r>
    <r>
      <rPr>
        <sz val="10"/>
        <color rgb="FFFF0000"/>
        <rFont val="ＭＳ Ｐゴシック"/>
        <family val="3"/>
        <charset val="128"/>
        <scheme val="minor"/>
      </rPr>
      <t>6%</t>
    </r>
    <phoneticPr fontId="1"/>
  </si>
  <si>
    <t>上昇率</t>
    <rPh sb="0" eb="3">
      <t>ジョウショウリツ</t>
    </rPh>
    <phoneticPr fontId="1"/>
  </si>
  <si>
    <r>
      <t xml:space="preserve">諸経費
</t>
    </r>
    <r>
      <rPr>
        <b/>
        <sz val="11"/>
        <color rgb="FFFF0000"/>
        <rFont val="ＭＳ Ｐゴシック"/>
        <family val="3"/>
        <charset val="128"/>
        <scheme val="minor"/>
      </rPr>
      <t>30％</t>
    </r>
    <rPh sb="0" eb="3">
      <t>ショケイヒ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</si>
</sst>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_ "/>
    <numFmt numFmtId="178" formatCode="#,##0.0_ "/>
    <numFmt numFmtId="182" formatCode="#,##0.000_ "/>
  </numFmts>
  <fonts count="15"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name val="ＭＳ Ｐゴシック"/>
      <family val="2"/>
      <charset val="128"/>
      <scheme val="minor"/>
    </font>
    <font>
      <sz val="10"/>
      <color rgb="FFFF0000"/>
      <name val="ＭＳ Ｐゴシック"/>
      <family val="3"/>
      <charset val="128"/>
      <scheme val="minor"/>
    </font>
    <font>
      <b/>
      <sz val="18"/>
      <name val="ＭＳ Ｐゴシック"/>
      <family val="3"/>
      <charset val="128"/>
      <scheme val="minor"/>
    </font>
    <font>
      <sz val="11"/>
      <name val="ＭＳ Ｐゴシック"/>
      <family val="3"/>
      <charset val="128"/>
      <scheme val="minor"/>
    </font>
    <font>
      <sz val="11"/>
      <color theme="1"/>
      <name val="ＭＳ Ｐゴシック"/>
      <family val="2"/>
      <charset val="128"/>
      <scheme val="minor"/>
    </font>
    <font>
      <sz val="10"/>
      <name val="ＭＳ Ｐゴシック"/>
      <family val="3"/>
      <charset val="128"/>
      <scheme val="minor"/>
    </font>
    <font>
      <b/>
      <sz val="11"/>
      <color rgb="FFFF0000"/>
      <name val="ＭＳ Ｐゴシック"/>
      <family val="3"/>
      <charset val="128"/>
      <scheme val="minor"/>
    </font>
  </fonts>
  <fills count="3">
    <fill>
      <patternFill patternType="none"/>
    </fill>
    <fill>
      <patternFill patternType="gray125"/>
    </fill>
    <fill>
      <patternFill patternType="solid">
        <fgColor theme="9" tint="0.59996337778862885"/>
        <bgColor indexed="64"/>
      </patternFill>
    </fill>
  </fills>
  <borders count="14">
    <border>
      <left/>
      <right/>
      <top/>
      <bottom/>
      <diagonal/>
    </border>
    <border>
      <left style="thin">
        <color auto="1"/>
      </left>
      <right style="thin">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5">
    <xf numFmtId="0" fontId="0" fillId="0" borderId="0" xfId="0">
      <alignment vertical="center"/>
    </xf>
    <xf numFmtId="0" fontId="0" fillId="0" borderId="0" xfId="0" applyAlignment="1">
      <alignment horizontal="center" vertical="center" wrapText="1"/>
    </xf>
    <xf numFmtId="176" fontId="0" fillId="0" borderId="0" xfId="0" applyNumberFormat="1">
      <alignment vertical="center"/>
    </xf>
    <xf numFmtId="177" fontId="0" fillId="0" borderId="0" xfId="0" applyNumberFormat="1">
      <alignment vertical="center"/>
    </xf>
    <xf numFmtId="9" fontId="0" fillId="2" borderId="1" xfId="0" applyNumberFormat="1" applyFill="1" applyBorder="1" applyAlignment="1">
      <alignment horizontal="center" vertical="center"/>
    </xf>
    <xf numFmtId="0" fontId="10" fillId="0" borderId="0" xfId="0" applyFont="1">
      <alignment vertical="center"/>
    </xf>
    <xf numFmtId="0" fontId="0" fillId="0" borderId="2" xfId="0" applyBorder="1" applyAlignment="1">
      <alignment horizontal="center" vertical="center"/>
    </xf>
    <xf numFmtId="0" fontId="0" fillId="2" borderId="2" xfId="0" applyFill="1" applyBorder="1" applyAlignment="1">
      <alignment horizontal="left" vertical="center" wrapText="1"/>
    </xf>
    <xf numFmtId="176" fontId="0" fillId="0" borderId="2" xfId="0" applyNumberFormat="1" applyBorder="1">
      <alignmen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left" vertical="center" wrapText="1"/>
    </xf>
    <xf numFmtId="176" fontId="0" fillId="0" borderId="1" xfId="0" applyNumberFormat="1" applyBorder="1">
      <alignment vertical="center"/>
    </xf>
    <xf numFmtId="176" fontId="0" fillId="2" borderId="1" xfId="0" applyNumberFormat="1" applyFill="1" applyBorder="1" applyAlignment="1">
      <alignment vertical="center" shrinkToFit="1"/>
    </xf>
    <xf numFmtId="176" fontId="7" fillId="2" borderId="1" xfId="0" applyNumberFormat="1" applyFont="1" applyFill="1" applyBorder="1">
      <alignment vertical="center"/>
    </xf>
    <xf numFmtId="176" fontId="0" fillId="2" borderId="1" xfId="0" applyNumberFormat="1" applyFill="1" applyBorder="1">
      <alignment vertical="center"/>
    </xf>
    <xf numFmtId="178" fontId="8" fillId="2" borderId="1" xfId="0" applyNumberFormat="1" applyFont="1" applyFill="1" applyBorder="1">
      <alignment vertical="center"/>
    </xf>
    <xf numFmtId="176" fontId="7" fillId="2" borderId="1" xfId="0" applyNumberFormat="1" applyFont="1" applyFill="1" applyBorder="1" applyAlignment="1">
      <alignment vertical="center" shrinkToFit="1"/>
    </xf>
    <xf numFmtId="176" fontId="11" fillId="2" borderId="1" xfId="0" applyNumberFormat="1" applyFont="1" applyFill="1" applyBorder="1">
      <alignment vertical="center"/>
    </xf>
    <xf numFmtId="176" fontId="7" fillId="0" borderId="1" xfId="0" applyNumberFormat="1" applyFont="1" applyBorder="1" applyAlignment="1">
      <alignment vertical="center" shrinkToFit="1"/>
    </xf>
    <xf numFmtId="177" fontId="0" fillId="0" borderId="6" xfId="0" applyNumberFormat="1" applyBorder="1">
      <alignment vertical="center"/>
    </xf>
    <xf numFmtId="0" fontId="2" fillId="2" borderId="2" xfId="0"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0" fontId="0" fillId="0" borderId="10" xfId="0" applyBorder="1" applyAlignment="1">
      <alignment horizontal="center" vertical="center"/>
    </xf>
    <xf numFmtId="0" fontId="0" fillId="2" borderId="11" xfId="0" applyFill="1" applyBorder="1" applyAlignment="1">
      <alignment horizontal="left" vertical="center" wrapText="1"/>
    </xf>
    <xf numFmtId="176" fontId="0" fillId="0" borderId="11" xfId="0" applyNumberFormat="1" applyBorder="1">
      <alignment vertical="center"/>
    </xf>
    <xf numFmtId="176" fontId="0" fillId="2" borderId="11" xfId="0" applyNumberFormat="1" applyFill="1" applyBorder="1" applyAlignment="1">
      <alignment vertical="center" shrinkToFit="1"/>
    </xf>
    <xf numFmtId="176" fontId="7" fillId="2" borderId="11" xfId="0" applyNumberFormat="1" applyFont="1" applyFill="1" applyBorder="1">
      <alignment vertical="center"/>
    </xf>
    <xf numFmtId="176" fontId="0" fillId="2" borderId="11" xfId="0" applyNumberFormat="1" applyFill="1" applyBorder="1">
      <alignment vertical="center"/>
    </xf>
    <xf numFmtId="178" fontId="8" fillId="2" borderId="11" xfId="0" applyNumberFormat="1" applyFont="1" applyFill="1" applyBorder="1">
      <alignment vertical="center"/>
    </xf>
    <xf numFmtId="176" fontId="7" fillId="2" borderId="11" xfId="0" applyNumberFormat="1" applyFont="1" applyFill="1" applyBorder="1" applyAlignment="1">
      <alignment vertical="center" shrinkToFit="1"/>
    </xf>
    <xf numFmtId="176" fontId="11" fillId="2" borderId="11" xfId="0" applyNumberFormat="1" applyFont="1" applyFill="1" applyBorder="1">
      <alignment vertical="center"/>
    </xf>
    <xf numFmtId="176" fontId="7" fillId="0" borderId="11" xfId="0" applyNumberFormat="1" applyFont="1" applyBorder="1" applyAlignment="1">
      <alignment vertical="center" shrinkToFit="1"/>
    </xf>
    <xf numFmtId="177" fontId="0" fillId="0" borderId="12" xfId="0" applyNumberFormat="1" applyBorder="1">
      <alignment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9" fontId="3" fillId="2" borderId="1" xfId="0" applyNumberFormat="1" applyFont="1" applyFill="1" applyBorder="1" applyAlignment="1">
      <alignment horizontal="center" vertical="center"/>
    </xf>
    <xf numFmtId="0" fontId="0" fillId="2" borderId="13" xfId="0" applyFill="1" applyBorder="1" applyAlignment="1">
      <alignment horizontal="left" vertical="center" wrapText="1"/>
    </xf>
    <xf numFmtId="176" fontId="0" fillId="2" borderId="11" xfId="0" applyNumberFormat="1" applyFill="1" applyBorder="1" applyAlignment="1">
      <alignment horizontal="right" vertical="center" shrinkToFi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1" xfId="0"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9" fontId="0" fillId="2" borderId="2" xfId="0" applyNumberForma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5" fillId="2" borderId="8" xfId="0" applyFont="1" applyFill="1" applyBorder="1" applyAlignment="1">
      <alignment horizontal="center" vertical="center"/>
    </xf>
    <xf numFmtId="0" fontId="7" fillId="2" borderId="8" xfId="0" applyFont="1" applyFill="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2" borderId="8" xfId="0" applyFont="1" applyFill="1" applyBorder="1" applyAlignment="1">
      <alignment horizontal="center" vertical="center" wrapText="1"/>
    </xf>
    <xf numFmtId="0" fontId="13" fillId="2" borderId="1" xfId="0" applyFont="1" applyFill="1" applyBorder="1" applyAlignment="1">
      <alignment horizontal="center" vertical="center" shrinkToFit="1"/>
    </xf>
    <xf numFmtId="9" fontId="0" fillId="0" borderId="2" xfId="0" applyNumberFormat="1" applyBorder="1">
      <alignment vertical="center"/>
    </xf>
    <xf numFmtId="38" fontId="0" fillId="0" borderId="2" xfId="1" applyFont="1" applyBorder="1">
      <alignment vertical="center"/>
    </xf>
    <xf numFmtId="38" fontId="0" fillId="0" borderId="2" xfId="0" applyNumberFormat="1" applyBorder="1">
      <alignment vertical="center"/>
    </xf>
    <xf numFmtId="182" fontId="0" fillId="0" borderId="2" xfId="0" applyNumberForma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9B06-95D0-4C44-AC68-B29FB8D73CD5}">
  <sheetPr>
    <pageSetUpPr fitToPage="1"/>
  </sheetPr>
  <dimension ref="A1:AD18"/>
  <sheetViews>
    <sheetView tabSelected="1" view="pageBreakPreview" zoomScale="70" zoomScaleNormal="55" zoomScaleSheetLayoutView="70" workbookViewId="0">
      <selection activeCell="M8" sqref="M8"/>
    </sheetView>
  </sheetViews>
  <sheetFormatPr defaultRowHeight="13.5" x14ac:dyDescent="0.15"/>
  <cols>
    <col min="1" max="2" width="5" customWidth="1"/>
    <col min="3" max="3" width="22.375" customWidth="1"/>
    <col min="4" max="7" width="11.375" customWidth="1"/>
    <col min="8" max="8" width="12.5" customWidth="1"/>
    <col min="9" max="9" width="11.375" customWidth="1"/>
    <col min="10" max="10" width="11.125" customWidth="1"/>
    <col min="11" max="11" width="10.875" customWidth="1"/>
    <col min="12" max="12" width="5" customWidth="1"/>
    <col min="13" max="13" width="10.625" customWidth="1"/>
    <col min="14" max="17" width="9.375" customWidth="1"/>
    <col min="18" max="19" width="11" customWidth="1"/>
    <col min="20" max="20" width="11.375" customWidth="1"/>
    <col min="21" max="21" width="10.875" customWidth="1"/>
    <col min="22" max="22" width="0.375" customWidth="1"/>
    <col min="23" max="23" width="2" customWidth="1"/>
    <col min="25" max="25" width="9.5" bestFit="1" customWidth="1"/>
  </cols>
  <sheetData>
    <row r="1" spans="1:30" ht="29.25" customHeight="1" x14ac:dyDescent="0.15">
      <c r="A1" s="5" t="s">
        <v>45</v>
      </c>
    </row>
    <row r="2" spans="1:30" ht="14.25" thickBot="1" x14ac:dyDescent="0.2"/>
    <row r="3" spans="1:30" ht="27.75" customHeight="1" x14ac:dyDescent="0.15">
      <c r="A3" s="60" t="s">
        <v>4</v>
      </c>
      <c r="B3" s="63" t="s">
        <v>5</v>
      </c>
      <c r="C3" s="58" t="s">
        <v>0</v>
      </c>
      <c r="D3" s="66" t="s">
        <v>9</v>
      </c>
      <c r="E3" s="69" t="s">
        <v>8</v>
      </c>
      <c r="F3" s="56" t="s">
        <v>12</v>
      </c>
      <c r="G3" s="56" t="s">
        <v>13</v>
      </c>
      <c r="H3" s="58" t="s">
        <v>14</v>
      </c>
      <c r="I3" s="58"/>
      <c r="J3" s="58"/>
      <c r="K3" s="58"/>
      <c r="L3" s="58"/>
      <c r="M3" s="58"/>
      <c r="N3" s="58"/>
      <c r="O3" s="58"/>
      <c r="P3" s="52" t="s">
        <v>53</v>
      </c>
      <c r="Q3" s="59" t="s">
        <v>2</v>
      </c>
      <c r="R3" s="59" t="s">
        <v>3</v>
      </c>
      <c r="S3" s="52" t="s">
        <v>25</v>
      </c>
      <c r="T3" s="53" t="s">
        <v>28</v>
      </c>
      <c r="U3" s="40" t="s">
        <v>22</v>
      </c>
    </row>
    <row r="4" spans="1:30" ht="27.75" customHeight="1" x14ac:dyDescent="0.15">
      <c r="A4" s="61"/>
      <c r="B4" s="64"/>
      <c r="C4" s="50"/>
      <c r="D4" s="67"/>
      <c r="E4" s="43"/>
      <c r="F4" s="57"/>
      <c r="G4" s="57"/>
      <c r="H4" s="43" t="s">
        <v>23</v>
      </c>
      <c r="I4" s="43" t="s">
        <v>24</v>
      </c>
      <c r="J4" s="44"/>
      <c r="K4" s="44"/>
      <c r="L4" s="44"/>
      <c r="M4" s="44"/>
      <c r="N4" s="44"/>
      <c r="O4" s="45" t="s">
        <v>15</v>
      </c>
      <c r="P4" s="45"/>
      <c r="Q4" s="45"/>
      <c r="R4" s="45"/>
      <c r="S4" s="45"/>
      <c r="T4" s="54"/>
      <c r="U4" s="41"/>
    </row>
    <row r="5" spans="1:30" ht="25.5" customHeight="1" x14ac:dyDescent="0.15">
      <c r="A5" s="61"/>
      <c r="B5" s="64"/>
      <c r="C5" s="50"/>
      <c r="D5" s="67"/>
      <c r="E5" s="43"/>
      <c r="F5" s="57"/>
      <c r="G5" s="57"/>
      <c r="H5" s="43"/>
      <c r="I5" s="22" t="s">
        <v>19</v>
      </c>
      <c r="J5" s="23" t="s">
        <v>20</v>
      </c>
      <c r="K5" s="47" t="s">
        <v>21</v>
      </c>
      <c r="L5" s="49" t="s">
        <v>18</v>
      </c>
      <c r="M5" s="49"/>
      <c r="N5" s="50" t="s">
        <v>17</v>
      </c>
      <c r="O5" s="45"/>
      <c r="P5" s="45"/>
      <c r="Q5" s="45"/>
      <c r="R5" s="45"/>
      <c r="S5" s="45"/>
      <c r="T5" s="54"/>
      <c r="U5" s="41"/>
      <c r="W5" t="s">
        <v>26</v>
      </c>
    </row>
    <row r="6" spans="1:30" ht="18.75" customHeight="1" thickBot="1" x14ac:dyDescent="0.2">
      <c r="A6" s="62"/>
      <c r="B6" s="65"/>
      <c r="C6" s="51"/>
      <c r="D6" s="68"/>
      <c r="E6" s="35"/>
      <c r="F6" s="36" t="s">
        <v>10</v>
      </c>
      <c r="G6" s="36" t="s">
        <v>11</v>
      </c>
      <c r="H6" s="70" t="s">
        <v>46</v>
      </c>
      <c r="I6" s="70" t="s">
        <v>47</v>
      </c>
      <c r="J6" s="37" t="s">
        <v>51</v>
      </c>
      <c r="K6" s="48"/>
      <c r="L6" s="4" t="s">
        <v>7</v>
      </c>
      <c r="M6" s="4" t="s">
        <v>6</v>
      </c>
      <c r="N6" s="51"/>
      <c r="O6" s="46"/>
      <c r="P6" s="46"/>
      <c r="Q6" s="46"/>
      <c r="R6" s="46"/>
      <c r="S6" s="46"/>
      <c r="T6" s="55"/>
      <c r="U6" s="42"/>
      <c r="W6" t="s">
        <v>27</v>
      </c>
      <c r="Y6" s="6" t="s">
        <v>44</v>
      </c>
      <c r="Z6" s="6" t="s">
        <v>48</v>
      </c>
      <c r="AA6" s="6" t="s">
        <v>52</v>
      </c>
      <c r="AB6" s="6" t="s">
        <v>49</v>
      </c>
      <c r="AC6" s="71" t="s">
        <v>50</v>
      </c>
      <c r="AD6" s="6" t="s">
        <v>48</v>
      </c>
    </row>
    <row r="7" spans="1:30" ht="44.25" customHeight="1" x14ac:dyDescent="0.15">
      <c r="A7" s="24">
        <v>8</v>
      </c>
      <c r="B7" s="6">
        <v>2</v>
      </c>
      <c r="C7" s="25" t="s">
        <v>36</v>
      </c>
      <c r="D7" s="26">
        <v>4958000</v>
      </c>
      <c r="E7" s="27">
        <f>D7/1.1</f>
        <v>4507272.7272727266</v>
      </c>
      <c r="F7" s="26">
        <f t="shared" ref="F7:F16" si="0">E7*14/24</f>
        <v>2629242.4242424238</v>
      </c>
      <c r="G7" s="26">
        <f t="shared" ref="G7:G16" si="1">F7*15/115</f>
        <v>342944.66403162054</v>
      </c>
      <c r="H7" s="28">
        <f>0.5*2*42500</f>
        <v>42500</v>
      </c>
      <c r="I7" s="29">
        <f>0.8*2*42500</f>
        <v>68000</v>
      </c>
      <c r="J7" s="29">
        <f>G7*0.06</f>
        <v>20576.679841897232</v>
      </c>
      <c r="K7" s="29">
        <f t="shared" ref="K7:K16" si="2">I7+J7</f>
        <v>88576.679841897232</v>
      </c>
      <c r="L7" s="30">
        <f t="shared" ref="L7:L16" si="3">(W7-1)*0.2</f>
        <v>0.4</v>
      </c>
      <c r="M7" s="29">
        <f t="shared" ref="M7:M16" si="4">K7*L7</f>
        <v>35430.671936758896</v>
      </c>
      <c r="N7" s="31">
        <f t="shared" ref="N7:N16" si="5">K7+M7</f>
        <v>124007.35177865613</v>
      </c>
      <c r="O7" s="31">
        <f t="shared" ref="O7:O16" si="6">H7+N7</f>
        <v>166507.35177865613</v>
      </c>
      <c r="P7" s="31">
        <f>O7*0.3</f>
        <v>49952.20553359684</v>
      </c>
      <c r="Q7" s="32">
        <v>0</v>
      </c>
      <c r="R7" s="31">
        <f t="shared" ref="R7:R16" si="7">O7+P7</f>
        <v>216459.55731225296</v>
      </c>
      <c r="S7" s="31">
        <f t="shared" ref="S7:S16" si="8">ROUNDDOWN(R7,-3)</f>
        <v>216000</v>
      </c>
      <c r="T7" s="33">
        <f t="shared" ref="T7:T16" si="9">S7*1.1</f>
        <v>237600.00000000003</v>
      </c>
      <c r="U7" s="34">
        <f t="shared" ref="U7:U16" si="10">S7/E7*100</f>
        <v>4.7922549415086735</v>
      </c>
      <c r="W7">
        <v>3</v>
      </c>
      <c r="X7" t="s">
        <v>29</v>
      </c>
      <c r="Y7" s="72">
        <v>174900</v>
      </c>
      <c r="Z7" s="8">
        <f>T7-Y7</f>
        <v>62700.000000000029</v>
      </c>
      <c r="AA7" s="74">
        <f>T7/Y7</f>
        <v>1.358490566037736</v>
      </c>
      <c r="AB7" s="72">
        <f>Y7*0.35</f>
        <v>61214.999999999993</v>
      </c>
      <c r="AC7" s="72">
        <f>T7*0.3</f>
        <v>71280</v>
      </c>
      <c r="AD7" s="73">
        <f>AC7-AB7</f>
        <v>10065.000000000007</v>
      </c>
    </row>
    <row r="8" spans="1:30" ht="44.25" customHeight="1" x14ac:dyDescent="0.15">
      <c r="A8" s="9">
        <v>8</v>
      </c>
      <c r="B8" s="6">
        <v>3</v>
      </c>
      <c r="C8" s="7" t="s">
        <v>32</v>
      </c>
      <c r="D8" s="26">
        <f>E8*1.1</f>
        <v>27995000.000000004</v>
      </c>
      <c r="E8" s="27">
        <v>25450000</v>
      </c>
      <c r="F8" s="26">
        <f t="shared" si="0"/>
        <v>14845833.333333334</v>
      </c>
      <c r="G8" s="26">
        <f t="shared" si="1"/>
        <v>1936413.043478261</v>
      </c>
      <c r="H8" s="28">
        <f t="shared" ref="H8:H16" si="11">0.5*2*42500</f>
        <v>42500</v>
      </c>
      <c r="I8" s="29">
        <f t="shared" ref="I8:I16" si="12">0.8*2*42500</f>
        <v>68000</v>
      </c>
      <c r="J8" s="29">
        <f t="shared" ref="J8:J16" si="13">G8*0.06</f>
        <v>116184.78260869565</v>
      </c>
      <c r="K8" s="29">
        <f t="shared" si="2"/>
        <v>184184.78260869565</v>
      </c>
      <c r="L8" s="30">
        <f t="shared" si="3"/>
        <v>0</v>
      </c>
      <c r="M8" s="29">
        <f t="shared" si="4"/>
        <v>0</v>
      </c>
      <c r="N8" s="31">
        <f t="shared" si="5"/>
        <v>184184.78260869565</v>
      </c>
      <c r="O8" s="31">
        <f t="shared" si="6"/>
        <v>226684.78260869565</v>
      </c>
      <c r="P8" s="31">
        <f t="shared" ref="P8:P16" si="14">O8*0.3</f>
        <v>68005.434782608689</v>
      </c>
      <c r="Q8" s="32">
        <v>0</v>
      </c>
      <c r="R8" s="31">
        <f t="shared" si="7"/>
        <v>294690.21739130432</v>
      </c>
      <c r="S8" s="31">
        <f t="shared" si="8"/>
        <v>294000</v>
      </c>
      <c r="T8" s="33">
        <f t="shared" si="9"/>
        <v>323400</v>
      </c>
      <c r="U8" s="34">
        <f t="shared" si="10"/>
        <v>1.1552062868369353</v>
      </c>
      <c r="W8">
        <v>1</v>
      </c>
      <c r="X8" t="s">
        <v>31</v>
      </c>
      <c r="Y8" s="72">
        <v>239800.00000000003</v>
      </c>
      <c r="Z8" s="8">
        <f>T8-Y8</f>
        <v>83599.999999999971</v>
      </c>
      <c r="AA8" s="74">
        <f t="shared" ref="AA8:AA16" si="15">T8/Y8</f>
        <v>1.3486238532110091</v>
      </c>
      <c r="AB8" s="72">
        <f t="shared" ref="AB8:AB16" si="16">Y8*0.35</f>
        <v>83930</v>
      </c>
      <c r="AC8" s="72">
        <f t="shared" ref="AC8:AC16" si="17">T8*0.3</f>
        <v>97020</v>
      </c>
      <c r="AD8" s="73">
        <f t="shared" ref="AD8:AD16" si="18">AC8-AB8</f>
        <v>13090</v>
      </c>
    </row>
    <row r="9" spans="1:30" ht="44.25" customHeight="1" x14ac:dyDescent="0.15">
      <c r="A9" s="9"/>
      <c r="B9" s="6"/>
      <c r="C9" s="25" t="s">
        <v>34</v>
      </c>
      <c r="D9" s="26">
        <v>9402000</v>
      </c>
      <c r="E9" s="27">
        <f t="shared" ref="E9:E12" si="19">D9/1.1</f>
        <v>8547272.7272727266</v>
      </c>
      <c r="F9" s="26">
        <f t="shared" si="0"/>
        <v>4985909.0909090908</v>
      </c>
      <c r="G9" s="26">
        <f t="shared" si="1"/>
        <v>650335.96837944665</v>
      </c>
      <c r="H9" s="28">
        <f t="shared" si="11"/>
        <v>42500</v>
      </c>
      <c r="I9" s="29">
        <f t="shared" si="12"/>
        <v>68000</v>
      </c>
      <c r="J9" s="29">
        <f t="shared" si="13"/>
        <v>39020.1581027668</v>
      </c>
      <c r="K9" s="29">
        <f t="shared" si="2"/>
        <v>107020.1581027668</v>
      </c>
      <c r="L9" s="30">
        <f t="shared" si="3"/>
        <v>0.4</v>
      </c>
      <c r="M9" s="29">
        <f t="shared" si="4"/>
        <v>42808.06324110672</v>
      </c>
      <c r="N9" s="31">
        <f t="shared" si="5"/>
        <v>149828.22134387353</v>
      </c>
      <c r="O9" s="31">
        <f t="shared" si="6"/>
        <v>192328.22134387353</v>
      </c>
      <c r="P9" s="31">
        <f t="shared" si="14"/>
        <v>57698.466403162056</v>
      </c>
      <c r="Q9" s="32">
        <v>0</v>
      </c>
      <c r="R9" s="31">
        <f t="shared" si="7"/>
        <v>250026.68774703558</v>
      </c>
      <c r="S9" s="31">
        <f t="shared" si="8"/>
        <v>250000</v>
      </c>
      <c r="T9" s="33">
        <f t="shared" si="9"/>
        <v>275000</v>
      </c>
      <c r="U9" s="34">
        <f t="shared" si="10"/>
        <v>2.9249095937034673</v>
      </c>
      <c r="W9">
        <v>3</v>
      </c>
      <c r="X9" t="s">
        <v>29</v>
      </c>
      <c r="Y9" s="72">
        <v>203500.00000000003</v>
      </c>
      <c r="Z9" s="8">
        <f>T9-Y9</f>
        <v>71499.999999999971</v>
      </c>
      <c r="AA9" s="74">
        <f t="shared" si="15"/>
        <v>1.3513513513513511</v>
      </c>
      <c r="AB9" s="72">
        <f t="shared" si="16"/>
        <v>71225</v>
      </c>
      <c r="AC9" s="72">
        <f t="shared" si="17"/>
        <v>82500</v>
      </c>
      <c r="AD9" s="73">
        <f t="shared" si="18"/>
        <v>11275</v>
      </c>
    </row>
    <row r="10" spans="1:30" ht="44.25" customHeight="1" x14ac:dyDescent="0.15">
      <c r="A10" s="9"/>
      <c r="B10" s="6"/>
      <c r="C10" s="7" t="s">
        <v>33</v>
      </c>
      <c r="D10" s="26">
        <f>E10*1.1</f>
        <v>31570000.000000004</v>
      </c>
      <c r="E10" s="27">
        <v>28700000</v>
      </c>
      <c r="F10" s="26">
        <f t="shared" si="0"/>
        <v>16741666.666666666</v>
      </c>
      <c r="G10" s="26">
        <f t="shared" si="1"/>
        <v>2183695.6521739131</v>
      </c>
      <c r="H10" s="28">
        <f t="shared" si="11"/>
        <v>42500</v>
      </c>
      <c r="I10" s="29">
        <f t="shared" si="12"/>
        <v>68000</v>
      </c>
      <c r="J10" s="29">
        <f t="shared" si="13"/>
        <v>131021.73913043478</v>
      </c>
      <c r="K10" s="29">
        <f t="shared" si="2"/>
        <v>199021.73913043478</v>
      </c>
      <c r="L10" s="30">
        <f t="shared" si="3"/>
        <v>0.2</v>
      </c>
      <c r="M10" s="29">
        <f t="shared" si="4"/>
        <v>39804.34782608696</v>
      </c>
      <c r="N10" s="31">
        <f t="shared" si="5"/>
        <v>238826.08695652173</v>
      </c>
      <c r="O10" s="31">
        <f t="shared" si="6"/>
        <v>281326.08695652173</v>
      </c>
      <c r="P10" s="31">
        <f t="shared" si="14"/>
        <v>84397.826086956513</v>
      </c>
      <c r="Q10" s="32">
        <v>0</v>
      </c>
      <c r="R10" s="31">
        <f t="shared" si="7"/>
        <v>365723.91304347827</v>
      </c>
      <c r="S10" s="31">
        <f t="shared" si="8"/>
        <v>365000</v>
      </c>
      <c r="T10" s="33">
        <f t="shared" si="9"/>
        <v>401500.00000000006</v>
      </c>
      <c r="U10" s="34">
        <f t="shared" si="10"/>
        <v>1.2717770034843205</v>
      </c>
      <c r="W10">
        <v>2</v>
      </c>
      <c r="X10" t="s">
        <v>30</v>
      </c>
      <c r="Y10" s="72">
        <v>300300</v>
      </c>
      <c r="Z10" s="8">
        <f t="shared" ref="Z10:Z16" si="20">T10-Y10</f>
        <v>101200.00000000006</v>
      </c>
      <c r="AA10" s="74">
        <f t="shared" si="15"/>
        <v>1.3369963369963371</v>
      </c>
      <c r="AB10" s="72">
        <f t="shared" si="16"/>
        <v>105105</v>
      </c>
      <c r="AC10" s="72">
        <f t="shared" si="17"/>
        <v>120450.00000000001</v>
      </c>
      <c r="AD10" s="73">
        <f t="shared" si="18"/>
        <v>15345.000000000015</v>
      </c>
    </row>
    <row r="11" spans="1:30" ht="44.25" customHeight="1" x14ac:dyDescent="0.15">
      <c r="A11" s="9"/>
      <c r="B11" s="6"/>
      <c r="C11" s="7" t="s">
        <v>35</v>
      </c>
      <c r="D11" s="26">
        <v>7348000</v>
      </c>
      <c r="E11" s="27">
        <f t="shared" si="19"/>
        <v>6679999.9999999991</v>
      </c>
      <c r="F11" s="26">
        <f t="shared" si="0"/>
        <v>3896666.666666666</v>
      </c>
      <c r="G11" s="26">
        <f t="shared" si="1"/>
        <v>508260.86956521735</v>
      </c>
      <c r="H11" s="28">
        <f t="shared" si="11"/>
        <v>42500</v>
      </c>
      <c r="I11" s="29">
        <f t="shared" si="12"/>
        <v>68000</v>
      </c>
      <c r="J11" s="29">
        <f t="shared" si="13"/>
        <v>30495.65217391304</v>
      </c>
      <c r="K11" s="29">
        <f t="shared" si="2"/>
        <v>98495.65217391304</v>
      </c>
      <c r="L11" s="30">
        <f t="shared" si="3"/>
        <v>0.4</v>
      </c>
      <c r="M11" s="29">
        <f t="shared" si="4"/>
        <v>39398.260869565216</v>
      </c>
      <c r="N11" s="31">
        <f t="shared" si="5"/>
        <v>137893.91304347827</v>
      </c>
      <c r="O11" s="31">
        <f t="shared" si="6"/>
        <v>180393.91304347827</v>
      </c>
      <c r="P11" s="31">
        <f t="shared" si="14"/>
        <v>54118.17391304348</v>
      </c>
      <c r="Q11" s="32">
        <v>0</v>
      </c>
      <c r="R11" s="31">
        <f t="shared" si="7"/>
        <v>234512.08695652176</v>
      </c>
      <c r="S11" s="31">
        <f t="shared" si="8"/>
        <v>234000</v>
      </c>
      <c r="T11" s="33">
        <f t="shared" si="9"/>
        <v>257400.00000000003</v>
      </c>
      <c r="U11" s="34">
        <f t="shared" si="10"/>
        <v>3.5029940119760483</v>
      </c>
      <c r="W11">
        <v>3</v>
      </c>
      <c r="X11" t="s">
        <v>29</v>
      </c>
      <c r="Y11" s="72">
        <v>190300.00000000003</v>
      </c>
      <c r="Z11" s="8">
        <f t="shared" si="20"/>
        <v>67100</v>
      </c>
      <c r="AA11" s="74">
        <f t="shared" si="15"/>
        <v>1.352601156069364</v>
      </c>
      <c r="AB11" s="72">
        <f t="shared" si="16"/>
        <v>66605</v>
      </c>
      <c r="AC11" s="72">
        <f t="shared" si="17"/>
        <v>77220</v>
      </c>
      <c r="AD11" s="73">
        <f t="shared" si="18"/>
        <v>10615</v>
      </c>
    </row>
    <row r="12" spans="1:30" ht="44.25" customHeight="1" x14ac:dyDescent="0.15">
      <c r="A12" s="9"/>
      <c r="B12" s="6"/>
      <c r="C12" s="7" t="s">
        <v>39</v>
      </c>
      <c r="D12" s="26">
        <v>200000000</v>
      </c>
      <c r="E12" s="27">
        <f t="shared" si="19"/>
        <v>181818181.81818181</v>
      </c>
      <c r="F12" s="26">
        <f t="shared" si="0"/>
        <v>106060606.06060606</v>
      </c>
      <c r="G12" s="26">
        <f t="shared" si="1"/>
        <v>13833992.09486166</v>
      </c>
      <c r="H12" s="28">
        <f t="shared" si="11"/>
        <v>42500</v>
      </c>
      <c r="I12" s="29">
        <f t="shared" si="12"/>
        <v>68000</v>
      </c>
      <c r="J12" s="29">
        <f t="shared" si="13"/>
        <v>830039.52569169959</v>
      </c>
      <c r="K12" s="29">
        <f t="shared" si="2"/>
        <v>898039.52569169959</v>
      </c>
      <c r="L12" s="30">
        <f t="shared" si="3"/>
        <v>0.4</v>
      </c>
      <c r="M12" s="29">
        <f t="shared" si="4"/>
        <v>359215.81027667987</v>
      </c>
      <c r="N12" s="31">
        <f t="shared" si="5"/>
        <v>1257255.3359683794</v>
      </c>
      <c r="O12" s="31">
        <f t="shared" si="6"/>
        <v>1299755.3359683794</v>
      </c>
      <c r="P12" s="31">
        <f t="shared" si="14"/>
        <v>389926.6007905138</v>
      </c>
      <c r="Q12" s="32">
        <v>0</v>
      </c>
      <c r="R12" s="31">
        <f t="shared" si="7"/>
        <v>1689681.9367588931</v>
      </c>
      <c r="S12" s="31">
        <f t="shared" si="8"/>
        <v>1689000</v>
      </c>
      <c r="T12" s="33">
        <f t="shared" si="9"/>
        <v>1857900.0000000002</v>
      </c>
      <c r="U12" s="34">
        <f t="shared" si="10"/>
        <v>0.92895000000000005</v>
      </c>
      <c r="W12">
        <v>3</v>
      </c>
      <c r="X12" t="s">
        <v>29</v>
      </c>
      <c r="Y12" s="72">
        <v>1421200</v>
      </c>
      <c r="Z12" s="8">
        <f t="shared" si="20"/>
        <v>436700.00000000023</v>
      </c>
      <c r="AA12" s="74">
        <f t="shared" si="15"/>
        <v>1.3072755417956659</v>
      </c>
      <c r="AB12" s="72">
        <f t="shared" si="16"/>
        <v>497419.99999999994</v>
      </c>
      <c r="AC12" s="72">
        <f t="shared" si="17"/>
        <v>557370</v>
      </c>
      <c r="AD12" s="73">
        <f t="shared" si="18"/>
        <v>59950.000000000058</v>
      </c>
    </row>
    <row r="13" spans="1:30" ht="44.25" customHeight="1" x14ac:dyDescent="0.15">
      <c r="A13" s="9"/>
      <c r="B13" s="6"/>
      <c r="C13" s="7" t="s">
        <v>37</v>
      </c>
      <c r="D13" s="8">
        <f>E13*1.1</f>
        <v>6043180.0000000009</v>
      </c>
      <c r="E13" s="39">
        <v>5493800</v>
      </c>
      <c r="F13" s="26">
        <f t="shared" si="0"/>
        <v>3204716.6666666665</v>
      </c>
      <c r="G13" s="26">
        <f t="shared" si="1"/>
        <v>418006.52173913043</v>
      </c>
      <c r="H13" s="28">
        <f t="shared" si="11"/>
        <v>42500</v>
      </c>
      <c r="I13" s="29">
        <f t="shared" si="12"/>
        <v>68000</v>
      </c>
      <c r="J13" s="29">
        <f t="shared" si="13"/>
        <v>25080.391304347824</v>
      </c>
      <c r="K13" s="29">
        <f t="shared" si="2"/>
        <v>93080.391304347824</v>
      </c>
      <c r="L13" s="30">
        <f t="shared" si="3"/>
        <v>0.4</v>
      </c>
      <c r="M13" s="29">
        <f t="shared" si="4"/>
        <v>37232.156521739133</v>
      </c>
      <c r="N13" s="31">
        <f t="shared" si="5"/>
        <v>130312.54782608696</v>
      </c>
      <c r="O13" s="31">
        <f t="shared" si="6"/>
        <v>172812.54782608696</v>
      </c>
      <c r="P13" s="31">
        <f t="shared" si="14"/>
        <v>51843.764347826087</v>
      </c>
      <c r="Q13" s="32">
        <v>0</v>
      </c>
      <c r="R13" s="31">
        <f t="shared" si="7"/>
        <v>224656.31217391306</v>
      </c>
      <c r="S13" s="31">
        <f t="shared" si="8"/>
        <v>224000</v>
      </c>
      <c r="T13" s="33">
        <f t="shared" si="9"/>
        <v>246400.00000000003</v>
      </c>
      <c r="U13" s="34">
        <f t="shared" si="10"/>
        <v>4.0773235283410392</v>
      </c>
      <c r="W13">
        <v>3</v>
      </c>
      <c r="X13" t="s">
        <v>29</v>
      </c>
      <c r="Y13" s="72">
        <v>181500.00000000003</v>
      </c>
      <c r="Z13" s="8">
        <f t="shared" si="20"/>
        <v>64900</v>
      </c>
      <c r="AA13" s="74">
        <f t="shared" si="15"/>
        <v>1.3575757575757574</v>
      </c>
      <c r="AB13" s="72">
        <f t="shared" si="16"/>
        <v>63525.000000000007</v>
      </c>
      <c r="AC13" s="72">
        <f t="shared" si="17"/>
        <v>73920</v>
      </c>
      <c r="AD13" s="73">
        <f t="shared" si="18"/>
        <v>10394.999999999993</v>
      </c>
    </row>
    <row r="14" spans="1:30" ht="44.25" customHeight="1" x14ac:dyDescent="0.15">
      <c r="A14" s="9"/>
      <c r="B14" s="6"/>
      <c r="C14" s="7" t="s">
        <v>38</v>
      </c>
      <c r="D14" s="8">
        <f>E14*1.1</f>
        <v>10665600</v>
      </c>
      <c r="E14" s="27">
        <v>9696000</v>
      </c>
      <c r="F14" s="26">
        <f t="shared" si="0"/>
        <v>5656000</v>
      </c>
      <c r="G14" s="26">
        <f t="shared" si="1"/>
        <v>737739.13043478259</v>
      </c>
      <c r="H14" s="28">
        <f t="shared" si="11"/>
        <v>42500</v>
      </c>
      <c r="I14" s="29">
        <f t="shared" si="12"/>
        <v>68000</v>
      </c>
      <c r="J14" s="29">
        <f t="shared" si="13"/>
        <v>44264.347826086952</v>
      </c>
      <c r="K14" s="29">
        <f t="shared" si="2"/>
        <v>112264.34782608695</v>
      </c>
      <c r="L14" s="30">
        <f t="shared" si="3"/>
        <v>0.4</v>
      </c>
      <c r="M14" s="29">
        <f t="shared" si="4"/>
        <v>44905.739130434784</v>
      </c>
      <c r="N14" s="31">
        <f t="shared" si="5"/>
        <v>157170.08695652173</v>
      </c>
      <c r="O14" s="31">
        <f t="shared" si="6"/>
        <v>199670.08695652173</v>
      </c>
      <c r="P14" s="31">
        <f t="shared" si="14"/>
        <v>59901.026086956517</v>
      </c>
      <c r="Q14" s="32">
        <v>0</v>
      </c>
      <c r="R14" s="31">
        <f t="shared" si="7"/>
        <v>259571.11304347825</v>
      </c>
      <c r="S14" s="31">
        <f t="shared" si="8"/>
        <v>259000</v>
      </c>
      <c r="T14" s="33">
        <f t="shared" si="9"/>
        <v>284900</v>
      </c>
      <c r="U14" s="34">
        <f t="shared" si="10"/>
        <v>2.6712046204620461</v>
      </c>
      <c r="W14">
        <v>3</v>
      </c>
      <c r="X14" t="s">
        <v>29</v>
      </c>
      <c r="Y14" s="72">
        <v>211200.00000000003</v>
      </c>
      <c r="Z14" s="8">
        <f t="shared" si="20"/>
        <v>73699.999999999971</v>
      </c>
      <c r="AA14" s="74">
        <f t="shared" si="15"/>
        <v>1.348958333333333</v>
      </c>
      <c r="AB14" s="72">
        <f t="shared" si="16"/>
        <v>73920</v>
      </c>
      <c r="AC14" s="72">
        <f t="shared" si="17"/>
        <v>85470</v>
      </c>
      <c r="AD14" s="73">
        <f t="shared" si="18"/>
        <v>11550</v>
      </c>
    </row>
    <row r="15" spans="1:30" ht="44.25" customHeight="1" x14ac:dyDescent="0.15">
      <c r="A15" s="9"/>
      <c r="B15" s="6"/>
      <c r="C15" s="7" t="s">
        <v>40</v>
      </c>
      <c r="D15" s="26">
        <f>E15*1.1</f>
        <v>31570000.000000004</v>
      </c>
      <c r="E15" s="27">
        <v>28700000</v>
      </c>
      <c r="F15" s="26">
        <f t="shared" si="0"/>
        <v>16741666.666666666</v>
      </c>
      <c r="G15" s="26">
        <f t="shared" si="1"/>
        <v>2183695.6521739131</v>
      </c>
      <c r="H15" s="28">
        <f t="shared" si="11"/>
        <v>42500</v>
      </c>
      <c r="I15" s="29">
        <f t="shared" si="12"/>
        <v>68000</v>
      </c>
      <c r="J15" s="29">
        <f t="shared" si="13"/>
        <v>131021.73913043478</v>
      </c>
      <c r="K15" s="29">
        <f t="shared" si="2"/>
        <v>199021.73913043478</v>
      </c>
      <c r="L15" s="30">
        <f t="shared" si="3"/>
        <v>0.2</v>
      </c>
      <c r="M15" s="29">
        <f t="shared" si="4"/>
        <v>39804.34782608696</v>
      </c>
      <c r="N15" s="31">
        <f t="shared" si="5"/>
        <v>238826.08695652173</v>
      </c>
      <c r="O15" s="31">
        <f t="shared" si="6"/>
        <v>281326.08695652173</v>
      </c>
      <c r="P15" s="31">
        <f t="shared" si="14"/>
        <v>84397.826086956513</v>
      </c>
      <c r="Q15" s="32">
        <v>0</v>
      </c>
      <c r="R15" s="31">
        <f t="shared" si="7"/>
        <v>365723.91304347827</v>
      </c>
      <c r="S15" s="31">
        <f t="shared" si="8"/>
        <v>365000</v>
      </c>
      <c r="T15" s="33">
        <f t="shared" si="9"/>
        <v>401500.00000000006</v>
      </c>
      <c r="U15" s="34">
        <f t="shared" si="10"/>
        <v>1.2717770034843205</v>
      </c>
      <c r="W15">
        <v>2</v>
      </c>
      <c r="X15" t="s">
        <v>30</v>
      </c>
      <c r="Y15" s="72">
        <v>300300</v>
      </c>
      <c r="Z15" s="8">
        <f t="shared" si="20"/>
        <v>101200.00000000006</v>
      </c>
      <c r="AA15" s="74">
        <f t="shared" si="15"/>
        <v>1.3369963369963371</v>
      </c>
      <c r="AB15" s="72">
        <f t="shared" si="16"/>
        <v>105105</v>
      </c>
      <c r="AC15" s="72">
        <f t="shared" si="17"/>
        <v>120450.00000000001</v>
      </c>
      <c r="AD15" s="73">
        <f t="shared" si="18"/>
        <v>15345.000000000015</v>
      </c>
    </row>
    <row r="16" spans="1:30" ht="44.25" customHeight="1" x14ac:dyDescent="0.15">
      <c r="A16" s="9"/>
      <c r="B16" s="6"/>
      <c r="C16" s="38" t="s">
        <v>41</v>
      </c>
      <c r="D16" s="8">
        <f>E16*1.1</f>
        <v>35869900</v>
      </c>
      <c r="E16" s="27">
        <v>32609000</v>
      </c>
      <c r="F16" s="26">
        <f t="shared" si="0"/>
        <v>19021916.666666668</v>
      </c>
      <c r="G16" s="26">
        <f t="shared" si="1"/>
        <v>2481119.5652173911</v>
      </c>
      <c r="H16" s="28">
        <f t="shared" si="11"/>
        <v>42500</v>
      </c>
      <c r="I16" s="29">
        <f t="shared" si="12"/>
        <v>68000</v>
      </c>
      <c r="J16" s="29">
        <f t="shared" si="13"/>
        <v>148867.17391304346</v>
      </c>
      <c r="K16" s="29">
        <f t="shared" si="2"/>
        <v>216867.17391304346</v>
      </c>
      <c r="L16" s="30">
        <f t="shared" si="3"/>
        <v>0</v>
      </c>
      <c r="M16" s="29">
        <f t="shared" si="4"/>
        <v>0</v>
      </c>
      <c r="N16" s="31">
        <f t="shared" si="5"/>
        <v>216867.17391304346</v>
      </c>
      <c r="O16" s="31">
        <f t="shared" si="6"/>
        <v>259367.17391304346</v>
      </c>
      <c r="P16" s="31">
        <f t="shared" si="14"/>
        <v>77810.15217391304</v>
      </c>
      <c r="Q16" s="32">
        <v>0</v>
      </c>
      <c r="R16" s="31">
        <f t="shared" si="7"/>
        <v>337177.32608695648</v>
      </c>
      <c r="S16" s="31">
        <f t="shared" si="8"/>
        <v>337000</v>
      </c>
      <c r="T16" s="33">
        <f t="shared" si="9"/>
        <v>370700.00000000006</v>
      </c>
      <c r="U16" s="34">
        <f t="shared" si="10"/>
        <v>1.0334570210678033</v>
      </c>
      <c r="W16">
        <v>1</v>
      </c>
      <c r="X16" t="s">
        <v>31</v>
      </c>
      <c r="Y16" s="72">
        <v>275000</v>
      </c>
      <c r="Z16" s="8">
        <f t="shared" si="20"/>
        <v>95700.000000000058</v>
      </c>
      <c r="AA16" s="74">
        <f t="shared" si="15"/>
        <v>1.3480000000000003</v>
      </c>
      <c r="AB16" s="72">
        <f t="shared" si="16"/>
        <v>96250</v>
      </c>
      <c r="AC16" s="72">
        <f t="shared" si="17"/>
        <v>111210.00000000001</v>
      </c>
      <c r="AD16" s="73">
        <f t="shared" si="18"/>
        <v>14960.000000000015</v>
      </c>
    </row>
    <row r="17" spans="1:21" ht="44.25" customHeight="1" thickBot="1" x14ac:dyDescent="0.2">
      <c r="A17" s="10"/>
      <c r="B17" s="11"/>
      <c r="C17" s="12"/>
      <c r="D17" s="13"/>
      <c r="E17" s="14"/>
      <c r="F17" s="13"/>
      <c r="G17" s="13"/>
      <c r="H17" s="15"/>
      <c r="I17" s="16"/>
      <c r="J17" s="16"/>
      <c r="K17" s="16"/>
      <c r="L17" s="17"/>
      <c r="M17" s="16"/>
      <c r="N17" s="18"/>
      <c r="O17" s="18"/>
      <c r="P17" s="18"/>
      <c r="Q17" s="19"/>
      <c r="R17" s="18"/>
      <c r="S17" s="18"/>
      <c r="T17" s="20"/>
      <c r="U17" s="21"/>
    </row>
    <row r="18" spans="1:21" ht="44.25" customHeight="1" x14ac:dyDescent="0.15">
      <c r="C18" s="1"/>
      <c r="D18" s="2"/>
      <c r="E18" s="2"/>
      <c r="F18" s="2"/>
      <c r="G18" s="2"/>
      <c r="H18" s="2"/>
      <c r="I18" s="2"/>
      <c r="J18" s="2"/>
      <c r="K18" s="2"/>
      <c r="L18" s="2"/>
      <c r="M18" s="2"/>
      <c r="N18" s="2"/>
      <c r="O18" s="2"/>
      <c r="P18" s="2"/>
      <c r="Q18" s="2"/>
      <c r="S18" s="2"/>
      <c r="T18" s="2"/>
      <c r="U18" s="3"/>
    </row>
  </sheetData>
  <mergeCells count="20">
    <mergeCell ref="T3:T6"/>
    <mergeCell ref="U3:U6"/>
    <mergeCell ref="H4:H5"/>
    <mergeCell ref="I4:N4"/>
    <mergeCell ref="O4:O6"/>
    <mergeCell ref="K5:K6"/>
    <mergeCell ref="L5:M5"/>
    <mergeCell ref="N5:N6"/>
    <mergeCell ref="G3:G5"/>
    <mergeCell ref="H3:O3"/>
    <mergeCell ref="P3:P6"/>
    <mergeCell ref="Q3:Q6"/>
    <mergeCell ref="R3:R6"/>
    <mergeCell ref="S3:S6"/>
    <mergeCell ref="A3:A6"/>
    <mergeCell ref="B3:B6"/>
    <mergeCell ref="C3:C6"/>
    <mergeCell ref="D3:D6"/>
    <mergeCell ref="E3:E5"/>
    <mergeCell ref="F3:F5"/>
  </mergeCells>
  <phoneticPr fontId="1"/>
  <pageMargins left="0.25" right="0.25" top="0.75" bottom="0.75" header="0.3" footer="0.3"/>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8"/>
  <sheetViews>
    <sheetView view="pageBreakPreview" zoomScale="70" zoomScaleNormal="55" zoomScaleSheetLayoutView="70" workbookViewId="0">
      <selection activeCell="W6" sqref="W6"/>
    </sheetView>
  </sheetViews>
  <sheetFormatPr defaultRowHeight="13.5" x14ac:dyDescent="0.15"/>
  <cols>
    <col min="1" max="2" width="5" customWidth="1"/>
    <col min="3" max="3" width="22.375" customWidth="1"/>
    <col min="4" max="7" width="11.375" customWidth="1"/>
    <col min="8" max="8" width="12.5" customWidth="1"/>
    <col min="9" max="9" width="11.375" customWidth="1"/>
    <col min="10" max="10" width="11.125" customWidth="1"/>
    <col min="11" max="11" width="10.875" customWidth="1"/>
    <col min="12" max="12" width="5" customWidth="1"/>
    <col min="13" max="13" width="10.625" customWidth="1"/>
    <col min="14" max="17" width="9.375" customWidth="1"/>
    <col min="18" max="19" width="11" customWidth="1"/>
    <col min="20" max="20" width="11.375" customWidth="1"/>
    <col min="21" max="21" width="10.875" customWidth="1"/>
    <col min="22" max="22" width="0.375" customWidth="1"/>
    <col min="23" max="23" width="2.875" customWidth="1"/>
  </cols>
  <sheetData>
    <row r="1" spans="1:24" ht="29.25" customHeight="1" x14ac:dyDescent="0.15">
      <c r="A1" s="5" t="s">
        <v>44</v>
      </c>
    </row>
    <row r="2" spans="1:24" ht="14.25" thickBot="1" x14ac:dyDescent="0.2"/>
    <row r="3" spans="1:24" ht="27.75" customHeight="1" x14ac:dyDescent="0.15">
      <c r="A3" s="60" t="s">
        <v>4</v>
      </c>
      <c r="B3" s="63" t="s">
        <v>5</v>
      </c>
      <c r="C3" s="58" t="s">
        <v>0</v>
      </c>
      <c r="D3" s="66" t="s">
        <v>9</v>
      </c>
      <c r="E3" s="69" t="s">
        <v>8</v>
      </c>
      <c r="F3" s="56" t="s">
        <v>12</v>
      </c>
      <c r="G3" s="56" t="s">
        <v>13</v>
      </c>
      <c r="H3" s="58" t="s">
        <v>14</v>
      </c>
      <c r="I3" s="58"/>
      <c r="J3" s="58"/>
      <c r="K3" s="58"/>
      <c r="L3" s="58"/>
      <c r="M3" s="58"/>
      <c r="N3" s="58"/>
      <c r="O3" s="58"/>
      <c r="P3" s="59" t="s">
        <v>1</v>
      </c>
      <c r="Q3" s="59" t="s">
        <v>2</v>
      </c>
      <c r="R3" s="59" t="s">
        <v>3</v>
      </c>
      <c r="S3" s="52" t="s">
        <v>25</v>
      </c>
      <c r="T3" s="53" t="s">
        <v>28</v>
      </c>
      <c r="U3" s="40" t="s">
        <v>22</v>
      </c>
    </row>
    <row r="4" spans="1:24" ht="27.75" customHeight="1" x14ac:dyDescent="0.15">
      <c r="A4" s="61"/>
      <c r="B4" s="64"/>
      <c r="C4" s="50"/>
      <c r="D4" s="67"/>
      <c r="E4" s="43"/>
      <c r="F4" s="57"/>
      <c r="G4" s="57"/>
      <c r="H4" s="43" t="s">
        <v>23</v>
      </c>
      <c r="I4" s="43" t="s">
        <v>24</v>
      </c>
      <c r="J4" s="44"/>
      <c r="K4" s="44"/>
      <c r="L4" s="44"/>
      <c r="M4" s="44"/>
      <c r="N4" s="44"/>
      <c r="O4" s="45" t="s">
        <v>15</v>
      </c>
      <c r="P4" s="45"/>
      <c r="Q4" s="45"/>
      <c r="R4" s="45"/>
      <c r="S4" s="45"/>
      <c r="T4" s="54"/>
      <c r="U4" s="41"/>
    </row>
    <row r="5" spans="1:24" ht="25.5" customHeight="1" x14ac:dyDescent="0.15">
      <c r="A5" s="61"/>
      <c r="B5" s="64"/>
      <c r="C5" s="50"/>
      <c r="D5" s="67"/>
      <c r="E5" s="43"/>
      <c r="F5" s="57"/>
      <c r="G5" s="57"/>
      <c r="H5" s="43"/>
      <c r="I5" s="22" t="s">
        <v>19</v>
      </c>
      <c r="J5" s="23" t="s">
        <v>20</v>
      </c>
      <c r="K5" s="47" t="s">
        <v>21</v>
      </c>
      <c r="L5" s="49" t="s">
        <v>18</v>
      </c>
      <c r="M5" s="49"/>
      <c r="N5" s="50" t="s">
        <v>17</v>
      </c>
      <c r="O5" s="45"/>
      <c r="P5" s="45"/>
      <c r="Q5" s="45"/>
      <c r="R5" s="45"/>
      <c r="S5" s="45"/>
      <c r="T5" s="54"/>
      <c r="U5" s="41"/>
      <c r="W5" t="s">
        <v>26</v>
      </c>
    </row>
    <row r="6" spans="1:24" ht="18.75" customHeight="1" thickBot="1" x14ac:dyDescent="0.2">
      <c r="A6" s="62"/>
      <c r="B6" s="65"/>
      <c r="C6" s="51"/>
      <c r="D6" s="68"/>
      <c r="E6" s="35"/>
      <c r="F6" s="36" t="s">
        <v>10</v>
      </c>
      <c r="G6" s="36" t="s">
        <v>11</v>
      </c>
      <c r="H6" s="70" t="s">
        <v>42</v>
      </c>
      <c r="I6" s="70" t="s">
        <v>43</v>
      </c>
      <c r="J6" s="37" t="s">
        <v>16</v>
      </c>
      <c r="K6" s="48"/>
      <c r="L6" s="4" t="s">
        <v>7</v>
      </c>
      <c r="M6" s="4" t="s">
        <v>6</v>
      </c>
      <c r="N6" s="51"/>
      <c r="O6" s="46"/>
      <c r="P6" s="46"/>
      <c r="Q6" s="46"/>
      <c r="R6" s="46"/>
      <c r="S6" s="46"/>
      <c r="T6" s="55"/>
      <c r="U6" s="42"/>
      <c r="W6" t="s">
        <v>27</v>
      </c>
    </row>
    <row r="7" spans="1:24" ht="44.25" customHeight="1" x14ac:dyDescent="0.15">
      <c r="A7" s="24">
        <v>8</v>
      </c>
      <c r="B7" s="6">
        <v>2</v>
      </c>
      <c r="C7" s="25" t="s">
        <v>36</v>
      </c>
      <c r="D7" s="26">
        <v>4958000</v>
      </c>
      <c r="E7" s="27">
        <f>D7/1.1</f>
        <v>4507272.7272727266</v>
      </c>
      <c r="F7" s="26">
        <f t="shared" ref="F7" si="0">E7*14/24</f>
        <v>2629242.4242424238</v>
      </c>
      <c r="G7" s="26">
        <f t="shared" ref="G7" si="1">F7*15/115</f>
        <v>342944.66403162054</v>
      </c>
      <c r="H7" s="28">
        <f t="shared" ref="H7:H16" si="2">0.3*2*42500</f>
        <v>25500</v>
      </c>
      <c r="I7" s="29">
        <f t="shared" ref="I7:I16" si="3">0.7*2*42500</f>
        <v>59499.999999999993</v>
      </c>
      <c r="J7" s="29">
        <f t="shared" ref="J7" si="4">G7*0.05</f>
        <v>17147.233201581028</v>
      </c>
      <c r="K7" s="29">
        <f t="shared" ref="K7" si="5">I7+J7</f>
        <v>76647.233201581024</v>
      </c>
      <c r="L7" s="30">
        <f t="shared" ref="L7" si="6">(W7-1)*0.2</f>
        <v>0.4</v>
      </c>
      <c r="M7" s="29">
        <f t="shared" ref="M7" si="7">K7*L7</f>
        <v>30658.893280632412</v>
      </c>
      <c r="N7" s="31">
        <f t="shared" ref="N7" si="8">K7+M7</f>
        <v>107306.12648221344</v>
      </c>
      <c r="O7" s="31">
        <f t="shared" ref="O7" si="9">H7+N7</f>
        <v>132806.12648221344</v>
      </c>
      <c r="P7" s="31">
        <f t="shared" ref="P7" si="10">O7*0.2</f>
        <v>26561.225296442688</v>
      </c>
      <c r="Q7" s="32">
        <v>0</v>
      </c>
      <c r="R7" s="31">
        <f t="shared" ref="R7" si="11">O7+P7</f>
        <v>159367.35177865613</v>
      </c>
      <c r="S7" s="31">
        <f t="shared" ref="S7" si="12">ROUNDDOWN(R7,-3)</f>
        <v>159000</v>
      </c>
      <c r="T7" s="33">
        <f t="shared" ref="T7" si="13">S7*1.1</f>
        <v>174900</v>
      </c>
      <c r="U7" s="34">
        <f t="shared" ref="U7" si="14">S7/E7*100</f>
        <v>3.5276321097216625</v>
      </c>
      <c r="W7">
        <v>3</v>
      </c>
      <c r="X7" t="s">
        <v>29</v>
      </c>
    </row>
    <row r="8" spans="1:24" ht="44.25" customHeight="1" x14ac:dyDescent="0.15">
      <c r="A8" s="9">
        <v>8</v>
      </c>
      <c r="B8" s="6">
        <v>3</v>
      </c>
      <c r="C8" s="7" t="s">
        <v>32</v>
      </c>
      <c r="D8" s="26">
        <f>E8*1.1</f>
        <v>27995000.000000004</v>
      </c>
      <c r="E8" s="27">
        <v>25450000</v>
      </c>
      <c r="F8" s="26">
        <f t="shared" ref="F8" si="15">E8*14/24</f>
        <v>14845833.333333334</v>
      </c>
      <c r="G8" s="26">
        <f t="shared" ref="G8" si="16">F8*15/115</f>
        <v>1936413.043478261</v>
      </c>
      <c r="H8" s="28">
        <f t="shared" si="2"/>
        <v>25500</v>
      </c>
      <c r="I8" s="29">
        <f t="shared" si="3"/>
        <v>59499.999999999993</v>
      </c>
      <c r="J8" s="29">
        <f t="shared" ref="J8" si="17">G8*0.05</f>
        <v>96820.652173913055</v>
      </c>
      <c r="K8" s="29">
        <f t="shared" ref="K8" si="18">I8+J8</f>
        <v>156320.65217391305</v>
      </c>
      <c r="L8" s="30">
        <f t="shared" ref="L8" si="19">(W8-1)*0.2</f>
        <v>0</v>
      </c>
      <c r="M8" s="29">
        <f t="shared" ref="M8" si="20">K8*L8</f>
        <v>0</v>
      </c>
      <c r="N8" s="31">
        <f t="shared" ref="N8" si="21">K8+M8</f>
        <v>156320.65217391305</v>
      </c>
      <c r="O8" s="31">
        <f t="shared" ref="O8" si="22">H8+N8</f>
        <v>181820.65217391305</v>
      </c>
      <c r="P8" s="31">
        <f t="shared" ref="P8" si="23">O8*0.2</f>
        <v>36364.130434782615</v>
      </c>
      <c r="Q8" s="32">
        <v>0</v>
      </c>
      <c r="R8" s="31">
        <f t="shared" ref="R8" si="24">O8+P8</f>
        <v>218184.78260869568</v>
      </c>
      <c r="S8" s="31">
        <f t="shared" ref="S8" si="25">ROUNDDOWN(R8,-3)</f>
        <v>218000</v>
      </c>
      <c r="T8" s="33">
        <f t="shared" ref="T8" si="26">S8*1.1</f>
        <v>239800.00000000003</v>
      </c>
      <c r="U8" s="34">
        <f t="shared" ref="U8" si="27">S8/E8*100</f>
        <v>0.85658153241650292</v>
      </c>
      <c r="W8">
        <v>1</v>
      </c>
      <c r="X8" t="s">
        <v>31</v>
      </c>
    </row>
    <row r="9" spans="1:24" ht="44.25" customHeight="1" x14ac:dyDescent="0.15">
      <c r="A9" s="9"/>
      <c r="B9" s="6"/>
      <c r="C9" s="25" t="s">
        <v>34</v>
      </c>
      <c r="D9" s="26">
        <v>9402000</v>
      </c>
      <c r="E9" s="27">
        <f t="shared" ref="E9:E12" si="28">D9/1.1</f>
        <v>8547272.7272727266</v>
      </c>
      <c r="F9" s="26">
        <f t="shared" ref="F9:F16" si="29">E9*14/24</f>
        <v>4985909.0909090908</v>
      </c>
      <c r="G9" s="26">
        <f t="shared" ref="G9:G16" si="30">F9*15/115</f>
        <v>650335.96837944665</v>
      </c>
      <c r="H9" s="28">
        <f t="shared" si="2"/>
        <v>25500</v>
      </c>
      <c r="I9" s="29">
        <f t="shared" si="3"/>
        <v>59499.999999999993</v>
      </c>
      <c r="J9" s="29">
        <f t="shared" ref="J9:J15" si="31">G9*0.05</f>
        <v>32516.798418972336</v>
      </c>
      <c r="K9" s="29">
        <f t="shared" ref="K9:K15" si="32">I9+J9</f>
        <v>92016.798418972321</v>
      </c>
      <c r="L9" s="30">
        <f t="shared" ref="L9:L15" si="33">(W9-1)*0.2</f>
        <v>0.4</v>
      </c>
      <c r="M9" s="29">
        <f t="shared" ref="M9:M15" si="34">K9*L9</f>
        <v>36806.719367588928</v>
      </c>
      <c r="N9" s="31">
        <f t="shared" ref="N9:N12" si="35">K9+M9</f>
        <v>128823.51778656125</v>
      </c>
      <c r="O9" s="31">
        <f t="shared" ref="O9:O12" si="36">H9+N9</f>
        <v>154323.51778656125</v>
      </c>
      <c r="P9" s="31">
        <f t="shared" ref="P9:P15" si="37">O9*0.2</f>
        <v>30864.703557312252</v>
      </c>
      <c r="Q9" s="32">
        <v>0</v>
      </c>
      <c r="R9" s="31">
        <f t="shared" ref="R9:R15" si="38">O9+P9</f>
        <v>185188.22134387351</v>
      </c>
      <c r="S9" s="31">
        <f t="shared" ref="S9:S15" si="39">ROUNDDOWN(R9,-3)</f>
        <v>185000</v>
      </c>
      <c r="T9" s="33">
        <f t="shared" ref="T9:T15" si="40">S9*1.1</f>
        <v>203500.00000000003</v>
      </c>
      <c r="U9" s="34">
        <f t="shared" ref="U9:U15" si="41">S9/E9*100</f>
        <v>2.1644330993405658</v>
      </c>
      <c r="W9">
        <v>3</v>
      </c>
      <c r="X9" t="s">
        <v>29</v>
      </c>
    </row>
    <row r="10" spans="1:24" ht="44.25" customHeight="1" x14ac:dyDescent="0.15">
      <c r="A10" s="9"/>
      <c r="B10" s="6"/>
      <c r="C10" s="7" t="s">
        <v>33</v>
      </c>
      <c r="D10" s="26">
        <f>E10*1.1</f>
        <v>31570000.000000004</v>
      </c>
      <c r="E10" s="27">
        <v>28700000</v>
      </c>
      <c r="F10" s="26">
        <f t="shared" si="29"/>
        <v>16741666.666666666</v>
      </c>
      <c r="G10" s="26">
        <f t="shared" si="30"/>
        <v>2183695.6521739131</v>
      </c>
      <c r="H10" s="28">
        <f t="shared" si="2"/>
        <v>25500</v>
      </c>
      <c r="I10" s="29">
        <f t="shared" si="3"/>
        <v>59499.999999999993</v>
      </c>
      <c r="J10" s="29">
        <f t="shared" si="31"/>
        <v>109184.78260869566</v>
      </c>
      <c r="K10" s="29">
        <f t="shared" si="32"/>
        <v>168684.78260869565</v>
      </c>
      <c r="L10" s="30">
        <f t="shared" si="33"/>
        <v>0.2</v>
      </c>
      <c r="M10" s="29">
        <f t="shared" si="34"/>
        <v>33736.956521739128</v>
      </c>
      <c r="N10" s="31">
        <f t="shared" si="35"/>
        <v>202421.73913043478</v>
      </c>
      <c r="O10" s="31">
        <f t="shared" si="36"/>
        <v>227921.73913043478</v>
      </c>
      <c r="P10" s="31">
        <f t="shared" si="37"/>
        <v>45584.34782608696</v>
      </c>
      <c r="Q10" s="32">
        <v>0</v>
      </c>
      <c r="R10" s="31">
        <f t="shared" si="38"/>
        <v>273506.08695652173</v>
      </c>
      <c r="S10" s="31">
        <f t="shared" si="39"/>
        <v>273000</v>
      </c>
      <c r="T10" s="33">
        <f t="shared" si="40"/>
        <v>300300</v>
      </c>
      <c r="U10" s="34">
        <f t="shared" si="41"/>
        <v>0.95121951219512191</v>
      </c>
      <c r="W10">
        <v>2</v>
      </c>
      <c r="X10" t="s">
        <v>30</v>
      </c>
    </row>
    <row r="11" spans="1:24" ht="44.25" customHeight="1" x14ac:dyDescent="0.15">
      <c r="A11" s="9"/>
      <c r="B11" s="6"/>
      <c r="C11" s="7" t="s">
        <v>35</v>
      </c>
      <c r="D11" s="26">
        <v>7348000</v>
      </c>
      <c r="E11" s="27">
        <f t="shared" si="28"/>
        <v>6679999.9999999991</v>
      </c>
      <c r="F11" s="26">
        <f t="shared" si="29"/>
        <v>3896666.666666666</v>
      </c>
      <c r="G11" s="26">
        <f t="shared" si="30"/>
        <v>508260.86956521735</v>
      </c>
      <c r="H11" s="28">
        <f t="shared" si="2"/>
        <v>25500</v>
      </c>
      <c r="I11" s="29">
        <f t="shared" si="3"/>
        <v>59499.999999999993</v>
      </c>
      <c r="J11" s="29">
        <f t="shared" si="31"/>
        <v>25413.043478260868</v>
      </c>
      <c r="K11" s="29">
        <f t="shared" si="32"/>
        <v>84913.043478260865</v>
      </c>
      <c r="L11" s="30">
        <f t="shared" si="33"/>
        <v>0.4</v>
      </c>
      <c r="M11" s="29">
        <f t="shared" si="34"/>
        <v>33965.217391304344</v>
      </c>
      <c r="N11" s="31">
        <f t="shared" si="35"/>
        <v>118878.26086956522</v>
      </c>
      <c r="O11" s="31">
        <f t="shared" si="36"/>
        <v>144378.26086956522</v>
      </c>
      <c r="P11" s="31">
        <f t="shared" si="37"/>
        <v>28875.652173913044</v>
      </c>
      <c r="Q11" s="32">
        <v>0</v>
      </c>
      <c r="R11" s="31">
        <f t="shared" si="38"/>
        <v>173253.91304347827</v>
      </c>
      <c r="S11" s="31">
        <f t="shared" si="39"/>
        <v>173000</v>
      </c>
      <c r="T11" s="33">
        <f t="shared" si="40"/>
        <v>190300.00000000003</v>
      </c>
      <c r="U11" s="34">
        <f t="shared" si="41"/>
        <v>2.5898203592814375</v>
      </c>
      <c r="W11">
        <v>3</v>
      </c>
      <c r="X11" t="s">
        <v>29</v>
      </c>
    </row>
    <row r="12" spans="1:24" ht="44.25" customHeight="1" x14ac:dyDescent="0.15">
      <c r="A12" s="9"/>
      <c r="B12" s="6"/>
      <c r="C12" s="7" t="s">
        <v>39</v>
      </c>
      <c r="D12" s="26">
        <v>200000000</v>
      </c>
      <c r="E12" s="27">
        <f t="shared" si="28"/>
        <v>181818181.81818181</v>
      </c>
      <c r="F12" s="26">
        <f t="shared" si="29"/>
        <v>106060606.06060606</v>
      </c>
      <c r="G12" s="26">
        <f t="shared" si="30"/>
        <v>13833992.09486166</v>
      </c>
      <c r="H12" s="28">
        <f t="shared" si="2"/>
        <v>25500</v>
      </c>
      <c r="I12" s="29">
        <f t="shared" si="3"/>
        <v>59499.999999999993</v>
      </c>
      <c r="J12" s="29">
        <f t="shared" si="31"/>
        <v>691699.60474308301</v>
      </c>
      <c r="K12" s="29">
        <f t="shared" si="32"/>
        <v>751199.60474308301</v>
      </c>
      <c r="L12" s="30">
        <f t="shared" si="33"/>
        <v>0.4</v>
      </c>
      <c r="M12" s="29">
        <f t="shared" si="34"/>
        <v>300479.84189723321</v>
      </c>
      <c r="N12" s="31">
        <f t="shared" si="35"/>
        <v>1051679.4466403162</v>
      </c>
      <c r="O12" s="31">
        <f t="shared" si="36"/>
        <v>1077179.4466403162</v>
      </c>
      <c r="P12" s="31">
        <f t="shared" si="37"/>
        <v>215435.88932806323</v>
      </c>
      <c r="Q12" s="32">
        <v>0</v>
      </c>
      <c r="R12" s="31">
        <f t="shared" si="38"/>
        <v>1292615.3359683794</v>
      </c>
      <c r="S12" s="31">
        <f t="shared" si="39"/>
        <v>1292000</v>
      </c>
      <c r="T12" s="33">
        <f t="shared" si="40"/>
        <v>1421200</v>
      </c>
      <c r="U12" s="34">
        <f t="shared" si="41"/>
        <v>0.71060000000000001</v>
      </c>
      <c r="W12">
        <v>3</v>
      </c>
      <c r="X12" t="s">
        <v>29</v>
      </c>
    </row>
    <row r="13" spans="1:24" ht="44.25" customHeight="1" x14ac:dyDescent="0.15">
      <c r="A13" s="9"/>
      <c r="B13" s="6"/>
      <c r="C13" s="7" t="s">
        <v>37</v>
      </c>
      <c r="D13" s="8">
        <f>E13*1.1</f>
        <v>6043180.0000000009</v>
      </c>
      <c r="E13" s="39">
        <v>5493800</v>
      </c>
      <c r="F13" s="26">
        <f t="shared" si="29"/>
        <v>3204716.6666666665</v>
      </c>
      <c r="G13" s="26">
        <f t="shared" si="30"/>
        <v>418006.52173913043</v>
      </c>
      <c r="H13" s="28">
        <f t="shared" si="2"/>
        <v>25500</v>
      </c>
      <c r="I13" s="29">
        <f t="shared" si="3"/>
        <v>59499.999999999993</v>
      </c>
      <c r="J13" s="29">
        <f t="shared" si="31"/>
        <v>20900.326086956524</v>
      </c>
      <c r="K13" s="29">
        <f t="shared" si="32"/>
        <v>80400.326086956513</v>
      </c>
      <c r="L13" s="30">
        <f t="shared" si="33"/>
        <v>0.4</v>
      </c>
      <c r="M13" s="29">
        <f t="shared" si="34"/>
        <v>32160.130434782608</v>
      </c>
      <c r="N13" s="31">
        <f t="shared" ref="N13:N16" si="42">K13+M13</f>
        <v>112560.45652173912</v>
      </c>
      <c r="O13" s="31">
        <f t="shared" ref="O13:O16" si="43">H13+N13</f>
        <v>138060.45652173914</v>
      </c>
      <c r="P13" s="31">
        <f t="shared" si="37"/>
        <v>27612.091304347829</v>
      </c>
      <c r="Q13" s="32">
        <v>0</v>
      </c>
      <c r="R13" s="31">
        <f t="shared" si="38"/>
        <v>165672.54782608696</v>
      </c>
      <c r="S13" s="31">
        <f t="shared" si="39"/>
        <v>165000</v>
      </c>
      <c r="T13" s="33">
        <f t="shared" si="40"/>
        <v>181500.00000000003</v>
      </c>
      <c r="U13" s="34">
        <f t="shared" si="41"/>
        <v>3.0033856347154977</v>
      </c>
      <c r="W13">
        <v>3</v>
      </c>
      <c r="X13" t="s">
        <v>29</v>
      </c>
    </row>
    <row r="14" spans="1:24" ht="44.25" customHeight="1" x14ac:dyDescent="0.15">
      <c r="A14" s="9"/>
      <c r="B14" s="6"/>
      <c r="C14" s="7" t="s">
        <v>38</v>
      </c>
      <c r="D14" s="8">
        <f>E14*1.1</f>
        <v>10665600</v>
      </c>
      <c r="E14" s="27">
        <v>9696000</v>
      </c>
      <c r="F14" s="26">
        <f t="shared" si="29"/>
        <v>5656000</v>
      </c>
      <c r="G14" s="26">
        <f t="shared" si="30"/>
        <v>737739.13043478259</v>
      </c>
      <c r="H14" s="28">
        <f t="shared" si="2"/>
        <v>25500</v>
      </c>
      <c r="I14" s="29">
        <f t="shared" si="3"/>
        <v>59499.999999999993</v>
      </c>
      <c r="J14" s="29">
        <f t="shared" si="31"/>
        <v>36886.956521739128</v>
      </c>
      <c r="K14" s="29">
        <f t="shared" si="32"/>
        <v>96386.956521739121</v>
      </c>
      <c r="L14" s="30">
        <f t="shared" si="33"/>
        <v>0.4</v>
      </c>
      <c r="M14" s="29">
        <f t="shared" si="34"/>
        <v>38554.782608695648</v>
      </c>
      <c r="N14" s="31">
        <f t="shared" si="42"/>
        <v>134941.73913043475</v>
      </c>
      <c r="O14" s="31">
        <f t="shared" si="43"/>
        <v>160441.73913043475</v>
      </c>
      <c r="P14" s="31">
        <f t="shared" si="37"/>
        <v>32088.347826086952</v>
      </c>
      <c r="Q14" s="32">
        <v>0</v>
      </c>
      <c r="R14" s="31">
        <f t="shared" si="38"/>
        <v>192530.0869565217</v>
      </c>
      <c r="S14" s="31">
        <f t="shared" si="39"/>
        <v>192000</v>
      </c>
      <c r="T14" s="33">
        <f t="shared" si="40"/>
        <v>211200.00000000003</v>
      </c>
      <c r="U14" s="34">
        <f t="shared" si="41"/>
        <v>1.9801980198019802</v>
      </c>
      <c r="W14">
        <v>3</v>
      </c>
      <c r="X14" t="s">
        <v>29</v>
      </c>
    </row>
    <row r="15" spans="1:24" ht="44.25" customHeight="1" x14ac:dyDescent="0.15">
      <c r="A15" s="9"/>
      <c r="B15" s="6"/>
      <c r="C15" s="7" t="s">
        <v>40</v>
      </c>
      <c r="D15" s="26">
        <f>E15*1.1</f>
        <v>31570000.000000004</v>
      </c>
      <c r="E15" s="27">
        <v>28700000</v>
      </c>
      <c r="F15" s="26">
        <f t="shared" si="29"/>
        <v>16741666.666666666</v>
      </c>
      <c r="G15" s="26">
        <f t="shared" si="30"/>
        <v>2183695.6521739131</v>
      </c>
      <c r="H15" s="28">
        <f t="shared" si="2"/>
        <v>25500</v>
      </c>
      <c r="I15" s="29">
        <f t="shared" si="3"/>
        <v>59499.999999999993</v>
      </c>
      <c r="J15" s="29">
        <f t="shared" si="31"/>
        <v>109184.78260869566</v>
      </c>
      <c r="K15" s="29">
        <f t="shared" si="32"/>
        <v>168684.78260869565</v>
      </c>
      <c r="L15" s="30">
        <f t="shared" si="33"/>
        <v>0.2</v>
      </c>
      <c r="M15" s="29">
        <f t="shared" si="34"/>
        <v>33736.956521739128</v>
      </c>
      <c r="N15" s="31">
        <f t="shared" si="42"/>
        <v>202421.73913043478</v>
      </c>
      <c r="O15" s="31">
        <f t="shared" si="43"/>
        <v>227921.73913043478</v>
      </c>
      <c r="P15" s="31">
        <f t="shared" si="37"/>
        <v>45584.34782608696</v>
      </c>
      <c r="Q15" s="32">
        <v>0</v>
      </c>
      <c r="R15" s="31">
        <f t="shared" si="38"/>
        <v>273506.08695652173</v>
      </c>
      <c r="S15" s="31">
        <f t="shared" si="39"/>
        <v>273000</v>
      </c>
      <c r="T15" s="33">
        <f t="shared" si="40"/>
        <v>300300</v>
      </c>
      <c r="U15" s="34">
        <f t="shared" si="41"/>
        <v>0.95121951219512191</v>
      </c>
      <c r="W15">
        <v>2</v>
      </c>
      <c r="X15" t="s">
        <v>30</v>
      </c>
    </row>
    <row r="16" spans="1:24" ht="44.25" customHeight="1" x14ac:dyDescent="0.15">
      <c r="A16" s="9"/>
      <c r="B16" s="6"/>
      <c r="C16" s="38" t="s">
        <v>41</v>
      </c>
      <c r="D16" s="8">
        <f>E16*1.1</f>
        <v>35869900</v>
      </c>
      <c r="E16" s="27">
        <v>32609000</v>
      </c>
      <c r="F16" s="26">
        <f t="shared" si="29"/>
        <v>19021916.666666668</v>
      </c>
      <c r="G16" s="26">
        <f t="shared" si="30"/>
        <v>2481119.5652173911</v>
      </c>
      <c r="H16" s="28">
        <f t="shared" si="2"/>
        <v>25500</v>
      </c>
      <c r="I16" s="29">
        <f t="shared" si="3"/>
        <v>59499.999999999993</v>
      </c>
      <c r="J16" s="29">
        <f t="shared" ref="J16" si="44">G16*0.05</f>
        <v>124055.97826086957</v>
      </c>
      <c r="K16" s="29">
        <f t="shared" ref="K16" si="45">I16+J16</f>
        <v>183555.97826086957</v>
      </c>
      <c r="L16" s="30">
        <f t="shared" ref="L16" si="46">(W16-1)*0.2</f>
        <v>0</v>
      </c>
      <c r="M16" s="29">
        <f t="shared" ref="M16" si="47">K16*L16</f>
        <v>0</v>
      </c>
      <c r="N16" s="31">
        <f t="shared" si="42"/>
        <v>183555.97826086957</v>
      </c>
      <c r="O16" s="31">
        <f t="shared" si="43"/>
        <v>209055.97826086957</v>
      </c>
      <c r="P16" s="31">
        <f t="shared" ref="P16" si="48">O16*0.2</f>
        <v>41811.195652173919</v>
      </c>
      <c r="Q16" s="32">
        <v>0</v>
      </c>
      <c r="R16" s="31">
        <f t="shared" ref="R16" si="49">O16+P16</f>
        <v>250867.17391304349</v>
      </c>
      <c r="S16" s="31">
        <f t="shared" ref="S16" si="50">ROUNDDOWN(R16,-3)</f>
        <v>250000</v>
      </c>
      <c r="T16" s="33">
        <f t="shared" ref="T16" si="51">S16*1.1</f>
        <v>275000</v>
      </c>
      <c r="U16" s="34">
        <f t="shared" ref="U16" si="52">S16/E16*100</f>
        <v>0.76665951117789566</v>
      </c>
      <c r="W16">
        <v>1</v>
      </c>
      <c r="X16" t="s">
        <v>31</v>
      </c>
    </row>
    <row r="17" spans="1:21" ht="44.25" customHeight="1" thickBot="1" x14ac:dyDescent="0.2">
      <c r="A17" s="10"/>
      <c r="B17" s="11"/>
      <c r="C17" s="12"/>
      <c r="D17" s="13"/>
      <c r="E17" s="14"/>
      <c r="F17" s="13"/>
      <c r="G17" s="13"/>
      <c r="H17" s="15"/>
      <c r="I17" s="16"/>
      <c r="J17" s="16"/>
      <c r="K17" s="16"/>
      <c r="L17" s="17"/>
      <c r="M17" s="16"/>
      <c r="N17" s="18"/>
      <c r="O17" s="18"/>
      <c r="P17" s="18"/>
      <c r="Q17" s="19"/>
      <c r="R17" s="18"/>
      <c r="S17" s="18"/>
      <c r="T17" s="20"/>
      <c r="U17" s="21"/>
    </row>
    <row r="18" spans="1:21" ht="44.25" customHeight="1" x14ac:dyDescent="0.15">
      <c r="C18" s="1"/>
      <c r="D18" s="2"/>
      <c r="E18" s="2"/>
      <c r="F18" s="2"/>
      <c r="G18" s="2"/>
      <c r="H18" s="2"/>
      <c r="I18" s="2"/>
      <c r="J18" s="2"/>
      <c r="K18" s="2"/>
      <c r="L18" s="2"/>
      <c r="M18" s="2"/>
      <c r="N18" s="2"/>
      <c r="O18" s="2"/>
      <c r="P18" s="2"/>
      <c r="Q18" s="2"/>
      <c r="S18" s="2"/>
      <c r="T18" s="2"/>
      <c r="U18" s="3"/>
    </row>
  </sheetData>
  <mergeCells count="20">
    <mergeCell ref="F3:F5"/>
    <mergeCell ref="A3:A6"/>
    <mergeCell ref="B3:B6"/>
    <mergeCell ref="C3:C6"/>
    <mergeCell ref="D3:D6"/>
    <mergeCell ref="E3:E5"/>
    <mergeCell ref="G3:G5"/>
    <mergeCell ref="H3:O3"/>
    <mergeCell ref="P3:P6"/>
    <mergeCell ref="Q3:Q6"/>
    <mergeCell ref="R3:R6"/>
    <mergeCell ref="U3:U6"/>
    <mergeCell ref="H4:H5"/>
    <mergeCell ref="I4:N4"/>
    <mergeCell ref="O4:O6"/>
    <mergeCell ref="K5:K6"/>
    <mergeCell ref="L5:M5"/>
    <mergeCell ref="N5:N6"/>
    <mergeCell ref="S3:S6"/>
    <mergeCell ref="T3:T6"/>
  </mergeCells>
  <phoneticPr fontId="1"/>
  <pageMargins left="0.25" right="0.25"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(2)</vt:lpstr>
      <vt:lpstr>R8</vt:lpstr>
      <vt:lpstr>'R8'!Print_Area</vt:lpstr>
      <vt:lpstr>'R8 (2)'!Print_Area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dc:creator>
  <cp:lastModifiedBy>島根県建築住宅センター 小森</cp:lastModifiedBy>
  <cp:lastPrinted>2026-08-25T04:03:07Z</cp:lastPrinted>
  <dcterms:created xsi:type="dcterms:W3CDTF">2015-09-27T03:34:53Z</dcterms:created>
  <dcterms:modified xsi:type="dcterms:W3CDTF">2026-08-25T04:08:16Z</dcterms:modified>
</cp:coreProperties>
</file>